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data\home$\mamabolomp\Documents\Budget 2015-2016\Adjustment Budget 2015-16\"/>
    </mc:Choice>
  </mc:AlternateContent>
  <bookViews>
    <workbookView xWindow="0" yWindow="0" windowWidth="20490" windowHeight="7455" activeTab="4"/>
  </bookViews>
  <sheets>
    <sheet name="COVER" sheetId="12" r:id="rId1"/>
    <sheet name="Table of content" sheetId="13" r:id="rId2"/>
    <sheet name="Executive summary" sheetId="14" r:id="rId3"/>
    <sheet name="Summary" sheetId="15" r:id="rId4"/>
    <sheet name="All Departments" sheetId="1" r:id="rId5"/>
    <sheet name="OPEX PER DEPARTMENT" sheetId="16" r:id="rId6"/>
    <sheet name="OPEX PER TYPE" sheetId="17" r:id="rId7"/>
    <sheet name="CAPEX" sheetId="18" r:id="rId8"/>
    <sheet name="Income per departments" sheetId="19" r:id="rId9"/>
    <sheet name="Corporate Services" sheetId="2" r:id="rId10"/>
    <sheet name="LEDP" sheetId="3" r:id="rId11"/>
    <sheet name="MM" sheetId="4" r:id="rId12"/>
    <sheet name="Mayor's Office" sheetId="5" r:id="rId13"/>
    <sheet name="budget &amp; Treasury" sheetId="6" r:id="rId14"/>
    <sheet name="Community services" sheetId="11" r:id="rId15"/>
    <sheet name="Tech-Roads" sheetId="7" r:id="rId16"/>
    <sheet name="Tech-Electricity" sheetId="8" r:id="rId17"/>
    <sheet name="Tech-Water" sheetId="9" r:id="rId18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3" hidden="1">'budget &amp; Treasury'!$A$1:$L$147</definedName>
    <definedName name="_xlnm.Print_Titles" localSheetId="4">'All Departments'!$2:$2</definedName>
    <definedName name="_xlnm.Print_Titles" localSheetId="13">'budget &amp; Treasury'!$1:$1</definedName>
    <definedName name="_xlnm.Print_Titles" localSheetId="14">'Community services'!$1:$1</definedName>
    <definedName name="_xlnm.Print_Titles" localSheetId="9">'Corporate Services'!$2:$2</definedName>
    <definedName name="_xlnm.Print_Titles" localSheetId="10">LEDP!$2:$2</definedName>
    <definedName name="_xlnm.Print_Titles" localSheetId="12">'Mayor''s Office'!$1:$1</definedName>
    <definedName name="_xlnm.Print_Titles" localSheetId="11">MM!$1:$1</definedName>
    <definedName name="_xlnm.Print_Titles" localSheetId="16">'Tech-Electricity'!$1:$1</definedName>
    <definedName name="_xlnm.Print_Titles" localSheetId="15">'Tech-Roads'!$1:$1</definedName>
    <definedName name="_xlnm.Print_Titles" localSheetId="17">'Tech-Water'!$1:$1</definedName>
  </definedNames>
  <calcPr calcId="152511" concurrentCalc="0"/>
</workbook>
</file>

<file path=xl/calcChain.xml><?xml version="1.0" encoding="utf-8"?>
<calcChain xmlns="http://schemas.openxmlformats.org/spreadsheetml/2006/main">
  <c r="L122" i="6" l="1"/>
  <c r="K122" i="6"/>
  <c r="L217" i="1"/>
  <c r="K217" i="1"/>
  <c r="J217" i="1"/>
  <c r="I217" i="1"/>
  <c r="K98" i="6"/>
  <c r="L98" i="6"/>
  <c r="J98" i="6"/>
  <c r="J215" i="1"/>
  <c r="K215" i="1"/>
  <c r="L215" i="1"/>
  <c r="I215" i="1"/>
  <c r="J1345" i="1"/>
  <c r="I1345" i="1"/>
  <c r="J110" i="8"/>
  <c r="G110" i="8"/>
  <c r="J1283" i="1"/>
  <c r="J127" i="1"/>
  <c r="K1283" i="1"/>
  <c r="K127" i="1"/>
  <c r="L1283" i="1"/>
  <c r="L127" i="1"/>
  <c r="I1283" i="1"/>
  <c r="I127" i="1"/>
  <c r="G127" i="1"/>
  <c r="G1283" i="1"/>
  <c r="L795" i="1"/>
  <c r="L21" i="1"/>
  <c r="K795" i="1"/>
  <c r="K21" i="1"/>
  <c r="I74" i="11"/>
  <c r="I465" i="1"/>
  <c r="J465" i="1"/>
  <c r="J466" i="1"/>
  <c r="J467" i="1"/>
  <c r="I468" i="1"/>
  <c r="J468" i="1"/>
  <c r="J470" i="1"/>
  <c r="J472" i="1"/>
  <c r="J474" i="1"/>
  <c r="J476" i="1"/>
  <c r="D4" i="19"/>
  <c r="I576" i="1"/>
  <c r="J576" i="1"/>
  <c r="J578" i="1"/>
  <c r="I582" i="1"/>
  <c r="J582" i="1"/>
  <c r="J584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J594" i="1"/>
  <c r="J596" i="1"/>
  <c r="J598" i="1"/>
  <c r="J600" i="1"/>
  <c r="D5" i="19"/>
  <c r="J870" i="1"/>
  <c r="J872" i="1"/>
  <c r="J876" i="1"/>
  <c r="J877" i="1"/>
  <c r="J878" i="1"/>
  <c r="J880" i="1"/>
  <c r="J884" i="1"/>
  <c r="J886" i="1"/>
  <c r="J890" i="1"/>
  <c r="J892" i="1"/>
  <c r="J896" i="1"/>
  <c r="J897" i="1"/>
  <c r="J898" i="1"/>
  <c r="J900" i="1"/>
  <c r="J902" i="1"/>
  <c r="J904" i="1"/>
  <c r="J906" i="1"/>
  <c r="D8" i="19"/>
  <c r="J1007" i="1"/>
  <c r="J1009" i="1"/>
  <c r="J1013" i="1"/>
  <c r="J1016" i="1"/>
  <c r="J1020" i="1"/>
  <c r="J1022" i="1"/>
  <c r="J1026" i="1"/>
  <c r="J1028" i="1"/>
  <c r="J1032" i="1"/>
  <c r="J1033" i="1"/>
  <c r="J1034" i="1"/>
  <c r="J1035" i="1"/>
  <c r="J1036" i="1"/>
  <c r="J1037" i="1"/>
  <c r="J1038" i="1"/>
  <c r="J1039" i="1"/>
  <c r="J1040" i="1"/>
  <c r="J1041" i="1"/>
  <c r="J1042" i="1"/>
  <c r="J1044" i="1"/>
  <c r="J1046" i="1"/>
  <c r="J1048" i="1"/>
  <c r="J1050" i="1"/>
  <c r="D9" i="19"/>
  <c r="D14" i="19"/>
  <c r="L1007" i="1"/>
  <c r="L1009" i="1"/>
  <c r="L1013" i="1"/>
  <c r="L1016" i="1"/>
  <c r="L1020" i="1"/>
  <c r="L1022" i="1"/>
  <c r="L1026" i="1"/>
  <c r="L1028" i="1"/>
  <c r="L1032" i="1"/>
  <c r="L1033" i="1"/>
  <c r="L1034" i="1"/>
  <c r="L1035" i="1"/>
  <c r="L1036" i="1"/>
  <c r="L1037" i="1"/>
  <c r="L1038" i="1"/>
  <c r="L1039" i="1"/>
  <c r="L1040" i="1"/>
  <c r="L1041" i="1"/>
  <c r="L1044" i="1"/>
  <c r="L1046" i="1"/>
  <c r="L1048" i="1"/>
  <c r="L1050" i="1"/>
  <c r="H9" i="19"/>
  <c r="K1007" i="1"/>
  <c r="K1009" i="1"/>
  <c r="K1013" i="1"/>
  <c r="K1016" i="1"/>
  <c r="K1020" i="1"/>
  <c r="K1022" i="1"/>
  <c r="K1026" i="1"/>
  <c r="K1028" i="1"/>
  <c r="K1032" i="1"/>
  <c r="K1033" i="1"/>
  <c r="K1034" i="1"/>
  <c r="K1035" i="1"/>
  <c r="K1036" i="1"/>
  <c r="K1037" i="1"/>
  <c r="K1038" i="1"/>
  <c r="K1039" i="1"/>
  <c r="K1040" i="1"/>
  <c r="K1041" i="1"/>
  <c r="K1044" i="1"/>
  <c r="K1046" i="1"/>
  <c r="K1048" i="1"/>
  <c r="K1050" i="1"/>
  <c r="F9" i="19"/>
  <c r="L104" i="6"/>
  <c r="L878" i="1"/>
  <c r="L876" i="1"/>
  <c r="L877" i="1"/>
  <c r="L880" i="1"/>
  <c r="L870" i="1"/>
  <c r="L872" i="1"/>
  <c r="L884" i="1"/>
  <c r="L886" i="1"/>
  <c r="L890" i="1"/>
  <c r="L892" i="1"/>
  <c r="L896" i="1"/>
  <c r="L897" i="1"/>
  <c r="L898" i="1"/>
  <c r="L900" i="1"/>
  <c r="L902" i="1"/>
  <c r="L904" i="1"/>
  <c r="L906" i="1"/>
  <c r="H8" i="19"/>
  <c r="K104" i="6"/>
  <c r="K878" i="1"/>
  <c r="K876" i="1"/>
  <c r="K877" i="1"/>
  <c r="K880" i="1"/>
  <c r="K870" i="1"/>
  <c r="K872" i="1"/>
  <c r="K884" i="1"/>
  <c r="K886" i="1"/>
  <c r="K890" i="1"/>
  <c r="K892" i="1"/>
  <c r="K896" i="1"/>
  <c r="K897" i="1"/>
  <c r="K898" i="1"/>
  <c r="K900" i="1"/>
  <c r="K902" i="1"/>
  <c r="K904" i="1"/>
  <c r="K906" i="1"/>
  <c r="F8" i="19"/>
  <c r="L590" i="1"/>
  <c r="K587" i="1"/>
  <c r="L587" i="1"/>
  <c r="K588" i="1"/>
  <c r="L588" i="1"/>
  <c r="K589" i="1"/>
  <c r="L589" i="1"/>
  <c r="K592" i="1"/>
  <c r="L592" i="1"/>
  <c r="L594" i="1"/>
  <c r="K582" i="1"/>
  <c r="L582" i="1"/>
  <c r="L584" i="1"/>
  <c r="L596" i="1"/>
  <c r="L598" i="1"/>
  <c r="L600" i="1"/>
  <c r="H5" i="19"/>
  <c r="K590" i="1"/>
  <c r="K594" i="1"/>
  <c r="K584" i="1"/>
  <c r="K596" i="1"/>
  <c r="K598" i="1"/>
  <c r="K600" i="1"/>
  <c r="F5" i="19"/>
  <c r="E4" i="19"/>
  <c r="L466" i="1"/>
  <c r="L467" i="1"/>
  <c r="L470" i="1"/>
  <c r="L472" i="1"/>
  <c r="L474" i="1"/>
  <c r="L476" i="1"/>
  <c r="H4" i="19"/>
  <c r="K466" i="1"/>
  <c r="K467" i="1"/>
  <c r="K470" i="1"/>
  <c r="K472" i="1"/>
  <c r="K474" i="1"/>
  <c r="K476" i="1"/>
  <c r="F4" i="19"/>
  <c r="H10" i="19"/>
  <c r="H11" i="19"/>
  <c r="H12" i="19"/>
  <c r="H14" i="19"/>
  <c r="F10" i="19"/>
  <c r="F11" i="19"/>
  <c r="F12" i="19"/>
  <c r="F14" i="19"/>
  <c r="B4" i="19"/>
  <c r="B5" i="19"/>
  <c r="B8" i="19"/>
  <c r="B9" i="19"/>
  <c r="B10" i="19"/>
  <c r="B11" i="19"/>
  <c r="B12" i="19"/>
  <c r="B14" i="19"/>
  <c r="C4" i="19"/>
  <c r="C5" i="19"/>
  <c r="C6" i="19"/>
  <c r="C7" i="19"/>
  <c r="C8" i="19"/>
  <c r="C9" i="19"/>
  <c r="C10" i="19"/>
  <c r="C11" i="19"/>
  <c r="C12" i="19"/>
  <c r="C14" i="19"/>
  <c r="L858" i="1"/>
  <c r="L203" i="1"/>
  <c r="H8" i="17"/>
  <c r="K63" i="9"/>
  <c r="K1415" i="1"/>
  <c r="K1418" i="1"/>
  <c r="K1422" i="1"/>
  <c r="K1423" i="1"/>
  <c r="K1425" i="1"/>
  <c r="K1427" i="1"/>
  <c r="L1415" i="1"/>
  <c r="L1418" i="1"/>
  <c r="L1422" i="1"/>
  <c r="L1423" i="1"/>
  <c r="L1425" i="1"/>
  <c r="L1427" i="1"/>
  <c r="J1415" i="1"/>
  <c r="J1418" i="1"/>
  <c r="J1422" i="1"/>
  <c r="J1423" i="1"/>
  <c r="J1425" i="1"/>
  <c r="J1427" i="1"/>
  <c r="I1415" i="1"/>
  <c r="I1416" i="1"/>
  <c r="I1418" i="1"/>
  <c r="I1422" i="1"/>
  <c r="I1423" i="1"/>
  <c r="I1425" i="1"/>
  <c r="I1427" i="1"/>
  <c r="C1427" i="1"/>
  <c r="K66" i="9"/>
  <c r="K75" i="9"/>
  <c r="K77" i="9"/>
  <c r="L77" i="9"/>
  <c r="L75" i="9"/>
  <c r="J75" i="9"/>
  <c r="I75" i="9"/>
  <c r="D75" i="9"/>
  <c r="E75" i="9"/>
  <c r="F75" i="9"/>
  <c r="G75" i="9"/>
  <c r="C75" i="9"/>
  <c r="C94" i="3"/>
  <c r="I95" i="2"/>
  <c r="I61" i="6"/>
  <c r="K123" i="6"/>
  <c r="L123" i="6"/>
  <c r="I123" i="6"/>
  <c r="I60" i="6"/>
  <c r="I45" i="6"/>
  <c r="I21" i="6"/>
  <c r="I51" i="4"/>
  <c r="J47" i="8"/>
  <c r="J1282" i="1"/>
  <c r="J112" i="1"/>
  <c r="K47" i="8"/>
  <c r="K1282" i="1"/>
  <c r="K112" i="1"/>
  <c r="L47" i="8"/>
  <c r="L1282" i="1"/>
  <c r="L112" i="1"/>
  <c r="I1282" i="1"/>
  <c r="I112" i="1"/>
  <c r="J46" i="8"/>
  <c r="K46" i="8"/>
  <c r="L46" i="8"/>
  <c r="J49" i="8"/>
  <c r="I126" i="7"/>
  <c r="G278" i="1"/>
  <c r="K277" i="1"/>
  <c r="L277" i="1"/>
  <c r="I897" i="1"/>
  <c r="I277" i="1"/>
  <c r="J123" i="6"/>
  <c r="J277" i="1"/>
  <c r="J351" i="1"/>
  <c r="J315" i="1"/>
  <c r="F6" i="18"/>
  <c r="D6" i="18"/>
  <c r="J87" i="1"/>
  <c r="J96" i="1"/>
  <c r="J107" i="1"/>
  <c r="J108" i="1"/>
  <c r="J110" i="1"/>
  <c r="J118" i="1"/>
  <c r="J135" i="1"/>
  <c r="J148" i="1"/>
  <c r="J153" i="1"/>
  <c r="J157" i="1"/>
  <c r="J159" i="1"/>
  <c r="I35" i="11"/>
  <c r="I21" i="11"/>
  <c r="I15" i="6"/>
  <c r="I11" i="6"/>
  <c r="I37" i="2"/>
  <c r="I373" i="1"/>
  <c r="J372" i="1"/>
  <c r="J374" i="1"/>
  <c r="J375" i="1"/>
  <c r="J377" i="1"/>
  <c r="J378" i="1"/>
  <c r="J379" i="1"/>
  <c r="J380" i="1"/>
  <c r="J390" i="1"/>
  <c r="J391" i="1"/>
  <c r="J392" i="1"/>
  <c r="J393" i="1"/>
  <c r="J404" i="1"/>
  <c r="J405" i="1"/>
  <c r="J406" i="1"/>
  <c r="J407" i="1"/>
  <c r="J410" i="1"/>
  <c r="J412" i="1"/>
  <c r="J413" i="1"/>
  <c r="J414" i="1"/>
  <c r="J415" i="1"/>
  <c r="J417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50" i="1"/>
  <c r="J452" i="1"/>
  <c r="J453" i="1"/>
  <c r="J278" i="1"/>
  <c r="J516" i="1"/>
  <c r="J518" i="1"/>
  <c r="J519" i="1"/>
  <c r="J521" i="1"/>
  <c r="J523" i="1"/>
  <c r="J531" i="1"/>
  <c r="J532" i="1"/>
  <c r="J533" i="1"/>
  <c r="J534" i="1"/>
  <c r="J535" i="1"/>
  <c r="J545" i="1"/>
  <c r="J548" i="1"/>
  <c r="J559" i="1"/>
  <c r="J709" i="1"/>
  <c r="J710" i="1"/>
  <c r="J711" i="1"/>
  <c r="J712" i="1"/>
  <c r="J716" i="1"/>
  <c r="J725" i="1"/>
  <c r="J726" i="1"/>
  <c r="J727" i="1"/>
  <c r="J730" i="1"/>
  <c r="J748" i="1"/>
  <c r="J749" i="1"/>
  <c r="J750" i="1"/>
  <c r="J751" i="1"/>
  <c r="J752" i="1"/>
  <c r="J753" i="1"/>
  <c r="J754" i="1"/>
  <c r="J755" i="1"/>
  <c r="J756" i="1"/>
  <c r="J792" i="1"/>
  <c r="J796" i="1"/>
  <c r="J797" i="1"/>
  <c r="J798" i="1"/>
  <c r="J818" i="1"/>
  <c r="J850" i="1"/>
  <c r="J851" i="1"/>
  <c r="J852" i="1"/>
  <c r="J853" i="1"/>
  <c r="J228" i="1"/>
  <c r="J229" i="1"/>
  <c r="J230" i="1"/>
  <c r="J243" i="1"/>
  <c r="J249" i="1"/>
  <c r="J276" i="1"/>
  <c r="J917" i="1"/>
  <c r="J931" i="1"/>
  <c r="J932" i="1"/>
  <c r="J933" i="1"/>
  <c r="J934" i="1"/>
  <c r="J935" i="1"/>
  <c r="J936" i="1"/>
  <c r="J937" i="1"/>
  <c r="J938" i="1"/>
  <c r="J939" i="1"/>
  <c r="J940" i="1"/>
  <c r="J942" i="1"/>
  <c r="J950" i="1"/>
  <c r="J951" i="1"/>
  <c r="J952" i="1"/>
  <c r="J953" i="1"/>
  <c r="J954" i="1"/>
  <c r="J965" i="1"/>
  <c r="J966" i="1"/>
  <c r="J967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74" i="11"/>
  <c r="J994" i="1"/>
  <c r="J75" i="11"/>
  <c r="J995" i="1"/>
  <c r="J255" i="1"/>
  <c r="J267" i="1"/>
  <c r="J268" i="1"/>
  <c r="J270" i="1"/>
  <c r="J273" i="1"/>
  <c r="J281" i="1"/>
  <c r="J1098" i="1"/>
  <c r="J1099" i="1"/>
  <c r="J1100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20" i="1"/>
  <c r="J1135" i="1"/>
  <c r="J1160" i="1"/>
  <c r="J1173" i="1"/>
  <c r="J1184" i="1"/>
  <c r="J235" i="1"/>
  <c r="J1186" i="1"/>
  <c r="J57" i="8"/>
  <c r="J1292" i="1"/>
  <c r="J72" i="8"/>
  <c r="J1307" i="1"/>
  <c r="J220" i="1"/>
  <c r="J79" i="8"/>
  <c r="J1314" i="1"/>
  <c r="J266" i="1"/>
  <c r="J1362" i="1"/>
  <c r="J1383" i="1"/>
  <c r="J1398" i="1"/>
  <c r="J283" i="1"/>
  <c r="J284" i="1"/>
  <c r="J1428" i="1"/>
  <c r="J1430" i="1"/>
  <c r="J854" i="1"/>
  <c r="J758" i="1"/>
  <c r="J760" i="1"/>
  <c r="J537" i="1"/>
  <c r="J263" i="1"/>
  <c r="J222" i="1"/>
  <c r="J279" i="1"/>
  <c r="J1429" i="1"/>
  <c r="J1431" i="1"/>
  <c r="J1438" i="1"/>
  <c r="J1403" i="1"/>
  <c r="J1405" i="1"/>
  <c r="J236" i="1"/>
  <c r="J919" i="1"/>
  <c r="J921" i="1"/>
  <c r="B8" i="18"/>
  <c r="K112" i="8"/>
  <c r="K111" i="8"/>
  <c r="K108" i="8"/>
  <c r="L141" i="7"/>
  <c r="L139" i="7"/>
  <c r="K142" i="7"/>
  <c r="K140" i="7"/>
  <c r="J911" i="1"/>
  <c r="J126" i="7"/>
  <c r="L1347" i="1"/>
  <c r="I1347" i="1"/>
  <c r="J1347" i="1"/>
  <c r="L1346" i="1"/>
  <c r="L337" i="1"/>
  <c r="I1346" i="1"/>
  <c r="L1343" i="1"/>
  <c r="L336" i="1"/>
  <c r="I1343" i="1"/>
  <c r="K1343" i="1"/>
  <c r="K336" i="1"/>
  <c r="K1346" i="1"/>
  <c r="K337" i="1"/>
  <c r="K1347" i="1"/>
  <c r="I917" i="1"/>
  <c r="L162" i="11"/>
  <c r="L1082" i="1"/>
  <c r="L357" i="1"/>
  <c r="K162" i="11"/>
  <c r="K1082" i="1"/>
  <c r="K357" i="1"/>
  <c r="K1081" i="1"/>
  <c r="L1081" i="1"/>
  <c r="K1344" i="1"/>
  <c r="L1344" i="1"/>
  <c r="K358" i="1"/>
  <c r="L358" i="1"/>
  <c r="L1230" i="1"/>
  <c r="L359" i="1"/>
  <c r="K1229" i="1"/>
  <c r="K356" i="1"/>
  <c r="L1228" i="1"/>
  <c r="L355" i="1"/>
  <c r="K1226" i="1"/>
  <c r="L1226" i="1"/>
  <c r="K1225" i="1"/>
  <c r="L1225" i="1"/>
  <c r="K1224" i="1"/>
  <c r="L1224" i="1"/>
  <c r="K1228" i="1"/>
  <c r="K355" i="1"/>
  <c r="L1229" i="1"/>
  <c r="L356" i="1"/>
  <c r="K1230" i="1"/>
  <c r="K359" i="1"/>
  <c r="L1227" i="1"/>
  <c r="K1227" i="1"/>
  <c r="K353" i="1"/>
  <c r="K1215" i="1"/>
  <c r="K331" i="1"/>
  <c r="I1215" i="1"/>
  <c r="L125" i="7"/>
  <c r="L1213" i="1"/>
  <c r="K125" i="7"/>
  <c r="K1213" i="1"/>
  <c r="L127" i="7"/>
  <c r="L1215" i="1"/>
  <c r="L331" i="1"/>
  <c r="K1208" i="1"/>
  <c r="L1208" i="1"/>
  <c r="I1209" i="1"/>
  <c r="L121" i="7"/>
  <c r="L1209" i="1"/>
  <c r="L332" i="1"/>
  <c r="K121" i="7"/>
  <c r="K1209" i="1"/>
  <c r="K332" i="1"/>
  <c r="L1070" i="1"/>
  <c r="L318" i="1"/>
  <c r="I1070" i="1"/>
  <c r="L1069" i="1"/>
  <c r="L317" i="1"/>
  <c r="I1069" i="1"/>
  <c r="L1068" i="1"/>
  <c r="L316" i="1"/>
  <c r="I1068" i="1"/>
  <c r="K1067" i="1"/>
  <c r="I1067" i="1"/>
  <c r="J1067" i="1"/>
  <c r="K150" i="11"/>
  <c r="K1070" i="1"/>
  <c r="K318" i="1"/>
  <c r="K149" i="11"/>
  <c r="K1069" i="1"/>
  <c r="K317" i="1"/>
  <c r="K148" i="11"/>
  <c r="K1068" i="1"/>
  <c r="K316" i="1"/>
  <c r="H168" i="11"/>
  <c r="G168" i="11"/>
  <c r="D168" i="11"/>
  <c r="E168" i="11"/>
  <c r="F168" i="11"/>
  <c r="C168" i="11"/>
  <c r="K756" i="1"/>
  <c r="L756" i="1"/>
  <c r="K755" i="1"/>
  <c r="L755" i="1"/>
  <c r="K754" i="1"/>
  <c r="L754" i="1"/>
  <c r="K753" i="1"/>
  <c r="L753" i="1"/>
  <c r="K752" i="1"/>
  <c r="L752" i="1"/>
  <c r="K751" i="1"/>
  <c r="L751" i="1"/>
  <c r="K750" i="1"/>
  <c r="L750" i="1"/>
  <c r="K749" i="1"/>
  <c r="L749" i="1"/>
  <c r="K748" i="1"/>
  <c r="L748" i="1"/>
  <c r="L52" i="5"/>
  <c r="L53" i="5"/>
  <c r="L54" i="5"/>
  <c r="L55" i="5"/>
  <c r="L56" i="5"/>
  <c r="L57" i="5"/>
  <c r="L58" i="5"/>
  <c r="L59" i="5"/>
  <c r="K52" i="5"/>
  <c r="K53" i="5"/>
  <c r="K54" i="5"/>
  <c r="K55" i="5"/>
  <c r="K56" i="5"/>
  <c r="K57" i="5"/>
  <c r="K58" i="5"/>
  <c r="K59" i="5"/>
  <c r="K51" i="5"/>
  <c r="L51" i="5"/>
  <c r="L40" i="5"/>
  <c r="L41" i="5"/>
  <c r="K40" i="5"/>
  <c r="K41" i="5"/>
  <c r="L39" i="5"/>
  <c r="K39" i="5"/>
  <c r="L727" i="1"/>
  <c r="L728" i="1"/>
  <c r="K727" i="1"/>
  <c r="K730" i="1"/>
  <c r="L730" i="1"/>
  <c r="I730" i="1"/>
  <c r="K726" i="1"/>
  <c r="L726" i="1"/>
  <c r="K725" i="1"/>
  <c r="L725" i="1"/>
  <c r="L29" i="5"/>
  <c r="L30" i="5"/>
  <c r="L31" i="5"/>
  <c r="L32" i="5"/>
  <c r="L33" i="5"/>
  <c r="K29" i="5"/>
  <c r="K30" i="5"/>
  <c r="K31" i="5"/>
  <c r="K32" i="5"/>
  <c r="K33" i="5"/>
  <c r="I30" i="5"/>
  <c r="K28" i="5"/>
  <c r="L28" i="5"/>
  <c r="K716" i="1"/>
  <c r="L716" i="1"/>
  <c r="I716" i="1"/>
  <c r="K712" i="1"/>
  <c r="L712" i="1"/>
  <c r="I712" i="1"/>
  <c r="K711" i="1"/>
  <c r="L711" i="1"/>
  <c r="I711" i="1"/>
  <c r="I710" i="1"/>
  <c r="K710" i="1"/>
  <c r="L710" i="1"/>
  <c r="K709" i="1"/>
  <c r="L709" i="1"/>
  <c r="I12" i="5"/>
  <c r="L11" i="5"/>
  <c r="L13" i="5"/>
  <c r="L14" i="5"/>
  <c r="L15" i="5"/>
  <c r="L16" i="5"/>
  <c r="L17" i="5"/>
  <c r="L18" i="5"/>
  <c r="L19" i="5"/>
  <c r="L20" i="5"/>
  <c r="L22" i="5"/>
  <c r="K11" i="5"/>
  <c r="K13" i="5"/>
  <c r="K14" i="5"/>
  <c r="K15" i="5"/>
  <c r="K16" i="5"/>
  <c r="K17" i="5"/>
  <c r="K18" i="5"/>
  <c r="K19" i="5"/>
  <c r="K20" i="5"/>
  <c r="K22" i="5"/>
  <c r="L10" i="5"/>
  <c r="K10" i="5"/>
  <c r="K313" i="1"/>
  <c r="L313" i="1"/>
  <c r="D361" i="1"/>
  <c r="E361" i="1"/>
  <c r="F361" i="1"/>
  <c r="C361" i="1"/>
  <c r="K616" i="1"/>
  <c r="K341" i="1"/>
  <c r="L616" i="1"/>
  <c r="L341" i="1"/>
  <c r="I616" i="1"/>
  <c r="L615" i="1"/>
  <c r="L340" i="1"/>
  <c r="I615" i="1"/>
  <c r="I614" i="1"/>
  <c r="I613" i="1"/>
  <c r="K612" i="1"/>
  <c r="L612" i="1"/>
  <c r="J113" i="3"/>
  <c r="J114" i="3"/>
  <c r="J115" i="3"/>
  <c r="J116" i="3"/>
  <c r="K115" i="3"/>
  <c r="K615" i="1"/>
  <c r="K340" i="1"/>
  <c r="L114" i="3"/>
  <c r="L614" i="1"/>
  <c r="L339" i="1"/>
  <c r="K114" i="3"/>
  <c r="K614" i="1"/>
  <c r="K339" i="1"/>
  <c r="L113" i="3"/>
  <c r="L613" i="1"/>
  <c r="L338" i="1"/>
  <c r="K113" i="3"/>
  <c r="K613" i="1"/>
  <c r="K338" i="1"/>
  <c r="I341" i="1"/>
  <c r="J341" i="1"/>
  <c r="J616" i="1"/>
  <c r="I317" i="1"/>
  <c r="J317" i="1"/>
  <c r="J1069" i="1"/>
  <c r="I337" i="1"/>
  <c r="J337" i="1"/>
  <c r="J1346" i="1"/>
  <c r="I339" i="1"/>
  <c r="J339" i="1"/>
  <c r="J614" i="1"/>
  <c r="I331" i="1"/>
  <c r="J331" i="1"/>
  <c r="J1215" i="1"/>
  <c r="I316" i="1"/>
  <c r="J316" i="1"/>
  <c r="J1068" i="1"/>
  <c r="I318" i="1"/>
  <c r="J318" i="1"/>
  <c r="J1070" i="1"/>
  <c r="I332" i="1"/>
  <c r="J332" i="1"/>
  <c r="J1209" i="1"/>
  <c r="I336" i="1"/>
  <c r="J336" i="1"/>
  <c r="J1343" i="1"/>
  <c r="I338" i="1"/>
  <c r="J338" i="1"/>
  <c r="J613" i="1"/>
  <c r="I340" i="1"/>
  <c r="J340" i="1"/>
  <c r="J615" i="1"/>
  <c r="B8" i="17"/>
  <c r="H7" i="17"/>
  <c r="F7" i="17"/>
  <c r="B7" i="17"/>
  <c r="B6" i="17"/>
  <c r="G107" i="1"/>
  <c r="G108" i="1"/>
  <c r="K97" i="1"/>
  <c r="K153" i="1"/>
  <c r="L153" i="1"/>
  <c r="K143" i="1"/>
  <c r="L143" i="1"/>
  <c r="K94" i="1"/>
  <c r="L94" i="1"/>
  <c r="K92" i="1"/>
  <c r="L92" i="1"/>
  <c r="L68" i="1"/>
  <c r="L325" i="1"/>
  <c r="K325" i="1"/>
  <c r="D325" i="1"/>
  <c r="E325" i="1"/>
  <c r="F325" i="1"/>
  <c r="C325" i="1"/>
  <c r="D342" i="1"/>
  <c r="E342" i="1"/>
  <c r="F342" i="1"/>
  <c r="C342" i="1"/>
  <c r="L342" i="1"/>
  <c r="K342" i="1"/>
  <c r="K334" i="1"/>
  <c r="L334" i="1"/>
  <c r="K333" i="1"/>
  <c r="L333" i="1"/>
  <c r="K330" i="1"/>
  <c r="L330" i="1"/>
  <c r="K329" i="1"/>
  <c r="L329" i="1"/>
  <c r="K328" i="1"/>
  <c r="L328" i="1"/>
  <c r="K327" i="1"/>
  <c r="L327" i="1"/>
  <c r="K326" i="1"/>
  <c r="L326" i="1"/>
  <c r="K324" i="1"/>
  <c r="L324" i="1"/>
  <c r="K323" i="1"/>
  <c r="L323" i="1"/>
  <c r="K321" i="1"/>
  <c r="L321" i="1"/>
  <c r="K320" i="1"/>
  <c r="L320" i="1"/>
  <c r="K319" i="1"/>
  <c r="L319" i="1"/>
  <c r="K488" i="1"/>
  <c r="K306" i="1"/>
  <c r="L488" i="1"/>
  <c r="L306" i="1"/>
  <c r="K492" i="1"/>
  <c r="K311" i="1"/>
  <c r="L491" i="1"/>
  <c r="L310" i="1"/>
  <c r="L490" i="1"/>
  <c r="L309" i="1"/>
  <c r="L489" i="1"/>
  <c r="L307" i="1"/>
  <c r="I490" i="1"/>
  <c r="I491" i="1"/>
  <c r="I492" i="1"/>
  <c r="I493" i="1"/>
  <c r="I494" i="1"/>
  <c r="J494" i="1"/>
  <c r="I489" i="1"/>
  <c r="L140" i="2"/>
  <c r="L493" i="1"/>
  <c r="L312" i="1"/>
  <c r="K140" i="2"/>
  <c r="K493" i="1"/>
  <c r="K312" i="1"/>
  <c r="J136" i="2"/>
  <c r="J137" i="2"/>
  <c r="J138" i="2"/>
  <c r="J139" i="2"/>
  <c r="J140" i="2"/>
  <c r="J141" i="2"/>
  <c r="K137" i="2"/>
  <c r="K490" i="1"/>
  <c r="K309" i="1"/>
  <c r="K136" i="2"/>
  <c r="K489" i="1"/>
  <c r="K307" i="1"/>
  <c r="L139" i="2"/>
  <c r="L492" i="1"/>
  <c r="L311" i="1"/>
  <c r="K138" i="2"/>
  <c r="K491" i="1"/>
  <c r="K310" i="1"/>
  <c r="I311" i="1"/>
  <c r="J311" i="1"/>
  <c r="J492" i="1"/>
  <c r="I307" i="1"/>
  <c r="J307" i="1"/>
  <c r="J489" i="1"/>
  <c r="I310" i="1"/>
  <c r="J310" i="1"/>
  <c r="J491" i="1"/>
  <c r="I309" i="1"/>
  <c r="J309" i="1"/>
  <c r="J490" i="1"/>
  <c r="I312" i="1"/>
  <c r="J312" i="1"/>
  <c r="J493" i="1"/>
  <c r="B5" i="17"/>
  <c r="G342" i="1"/>
  <c r="I433" i="1"/>
  <c r="J76" i="2"/>
  <c r="I430" i="1"/>
  <c r="I424" i="1"/>
  <c r="I423" i="1"/>
  <c r="I422" i="1"/>
  <c r="K421" i="1"/>
  <c r="K128" i="1"/>
  <c r="I421" i="1"/>
  <c r="I128" i="1"/>
  <c r="J128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L64" i="2"/>
  <c r="L421" i="1"/>
  <c r="L128" i="1"/>
  <c r="I394" i="1"/>
  <c r="I393" i="1"/>
  <c r="I392" i="1"/>
  <c r="I391" i="1"/>
  <c r="I390" i="1"/>
  <c r="I380" i="1"/>
  <c r="I379" i="1"/>
  <c r="I377" i="1"/>
  <c r="I375" i="1"/>
  <c r="I374" i="1"/>
  <c r="K372" i="1"/>
  <c r="L372" i="1"/>
  <c r="I372" i="1"/>
  <c r="J44" i="3"/>
  <c r="J45" i="3"/>
  <c r="J46" i="3"/>
  <c r="J47" i="3"/>
  <c r="J48" i="3"/>
  <c r="J49" i="3"/>
  <c r="K49" i="3"/>
  <c r="L49" i="3"/>
  <c r="J50" i="3"/>
  <c r="J51" i="3"/>
  <c r="J52" i="3"/>
  <c r="J53" i="3"/>
  <c r="J54" i="3"/>
  <c r="J55" i="3"/>
  <c r="K55" i="3"/>
  <c r="L55" i="3"/>
  <c r="J56" i="3"/>
  <c r="K56" i="3"/>
  <c r="L56" i="3"/>
  <c r="J57" i="3"/>
  <c r="J58" i="3"/>
  <c r="J59" i="3"/>
  <c r="K59" i="3"/>
  <c r="L59" i="3"/>
  <c r="J60" i="3"/>
  <c r="I545" i="1"/>
  <c r="I532" i="1"/>
  <c r="I533" i="1"/>
  <c r="I534" i="1"/>
  <c r="I535" i="1"/>
  <c r="I531" i="1"/>
  <c r="I521" i="1"/>
  <c r="I520" i="1"/>
  <c r="I519" i="1"/>
  <c r="I518" i="1"/>
  <c r="I517" i="1"/>
  <c r="I522" i="1"/>
  <c r="I523" i="1"/>
  <c r="I524" i="1"/>
  <c r="I525" i="1"/>
  <c r="I516" i="1"/>
  <c r="C344" i="1"/>
  <c r="I1342" i="1"/>
  <c r="G1344" i="1"/>
  <c r="I1344" i="1"/>
  <c r="J1344" i="1"/>
  <c r="L107" i="8"/>
  <c r="K107" i="8"/>
  <c r="L106" i="8"/>
  <c r="L1341" i="1"/>
  <c r="L322" i="1"/>
  <c r="K106" i="8"/>
  <c r="K1341" i="1"/>
  <c r="K322" i="1"/>
  <c r="K354" i="1"/>
  <c r="L354" i="1"/>
  <c r="L353" i="1"/>
  <c r="K349" i="1"/>
  <c r="L349" i="1"/>
  <c r="G128" i="1"/>
  <c r="G129" i="1"/>
  <c r="K37" i="8"/>
  <c r="L37" i="8"/>
  <c r="K284" i="1"/>
  <c r="L284" i="1"/>
  <c r="K283" i="1"/>
  <c r="L283" i="1"/>
  <c r="L1398" i="1"/>
  <c r="L84" i="1"/>
  <c r="K71" i="9"/>
  <c r="L71" i="9"/>
  <c r="K70" i="9"/>
  <c r="L70" i="9"/>
  <c r="K46" i="9"/>
  <c r="K1398" i="1"/>
  <c r="K84" i="1"/>
  <c r="L1384" i="1"/>
  <c r="L1385" i="1"/>
  <c r="L1386" i="1"/>
  <c r="L1387" i="1"/>
  <c r="L1388" i="1"/>
  <c r="K1384" i="1"/>
  <c r="K1385" i="1"/>
  <c r="K1386" i="1"/>
  <c r="K1387" i="1"/>
  <c r="K1388" i="1"/>
  <c r="K1383" i="1"/>
  <c r="L1383" i="1"/>
  <c r="K36" i="9"/>
  <c r="L36" i="9"/>
  <c r="K35" i="9"/>
  <c r="L35" i="9"/>
  <c r="K34" i="9"/>
  <c r="L34" i="9"/>
  <c r="K33" i="9"/>
  <c r="L33" i="9"/>
  <c r="K32" i="9"/>
  <c r="L32" i="9"/>
  <c r="K31" i="9"/>
  <c r="L31" i="9"/>
  <c r="L1363" i="1"/>
  <c r="L1364" i="1"/>
  <c r="L1367" i="1"/>
  <c r="L1368" i="1"/>
  <c r="L1369" i="1"/>
  <c r="L1370" i="1"/>
  <c r="L19" i="9"/>
  <c r="L1371" i="1"/>
  <c r="L1372" i="1"/>
  <c r="L1373" i="1"/>
  <c r="L1374" i="1"/>
  <c r="L1375" i="1"/>
  <c r="L1376" i="1"/>
  <c r="L1377" i="1"/>
  <c r="K1363" i="1"/>
  <c r="K1364" i="1"/>
  <c r="K1367" i="1"/>
  <c r="K1368" i="1"/>
  <c r="K1369" i="1"/>
  <c r="K1370" i="1"/>
  <c r="K1371" i="1"/>
  <c r="K1372" i="1"/>
  <c r="K1373" i="1"/>
  <c r="K1374" i="1"/>
  <c r="K1375" i="1"/>
  <c r="K1376" i="1"/>
  <c r="K1377" i="1"/>
  <c r="K1362" i="1"/>
  <c r="L1362" i="1"/>
  <c r="L11" i="9"/>
  <c r="L12" i="9"/>
  <c r="L15" i="9"/>
  <c r="L16" i="9"/>
  <c r="L17" i="9"/>
  <c r="L18" i="9"/>
  <c r="L20" i="9"/>
  <c r="L21" i="9"/>
  <c r="L22" i="9"/>
  <c r="L23" i="9"/>
  <c r="L24" i="9"/>
  <c r="L25" i="9"/>
  <c r="K11" i="9"/>
  <c r="K12" i="9"/>
  <c r="K15" i="9"/>
  <c r="K16" i="9"/>
  <c r="K17" i="9"/>
  <c r="K18" i="9"/>
  <c r="K20" i="9"/>
  <c r="K21" i="9"/>
  <c r="K22" i="9"/>
  <c r="K23" i="9"/>
  <c r="K24" i="9"/>
  <c r="K25" i="9"/>
  <c r="L10" i="9"/>
  <c r="K10" i="9"/>
  <c r="L1186" i="1"/>
  <c r="L1185" i="1"/>
  <c r="L237" i="1"/>
  <c r="K1185" i="1"/>
  <c r="K237" i="1"/>
  <c r="L96" i="7"/>
  <c r="L1184" i="1"/>
  <c r="L235" i="1"/>
  <c r="K96" i="7"/>
  <c r="K1184" i="1"/>
  <c r="K235" i="1"/>
  <c r="K1160" i="1"/>
  <c r="K182" i="1"/>
  <c r="L1160" i="1"/>
  <c r="L182" i="1"/>
  <c r="L1126" i="1"/>
  <c r="I34" i="7"/>
  <c r="L315" i="1"/>
  <c r="L147" i="11"/>
  <c r="L1067" i="1"/>
  <c r="J151" i="11"/>
  <c r="G319" i="1"/>
  <c r="L146" i="11"/>
  <c r="L1066" i="1"/>
  <c r="L314" i="1"/>
  <c r="I1066" i="1"/>
  <c r="K146" i="11"/>
  <c r="K1066" i="1"/>
  <c r="K314" i="1"/>
  <c r="K255" i="1"/>
  <c r="L255" i="1"/>
  <c r="K236" i="1"/>
  <c r="L236" i="1"/>
  <c r="K106" i="11"/>
  <c r="L106" i="11"/>
  <c r="K222" i="1"/>
  <c r="L222" i="1"/>
  <c r="K87" i="11"/>
  <c r="L87" i="11"/>
  <c r="K55" i="11"/>
  <c r="K975" i="1"/>
  <c r="L966" i="1"/>
  <c r="L967" i="1"/>
  <c r="L968" i="1"/>
  <c r="L71" i="1"/>
  <c r="K966" i="1"/>
  <c r="K967" i="1"/>
  <c r="K968" i="1"/>
  <c r="K71" i="1"/>
  <c r="K942" i="1"/>
  <c r="L942" i="1"/>
  <c r="I11" i="11"/>
  <c r="I870" i="1"/>
  <c r="L143" i="6"/>
  <c r="L917" i="1"/>
  <c r="L352" i="1"/>
  <c r="K143" i="6"/>
  <c r="K917" i="1"/>
  <c r="K352" i="1"/>
  <c r="K279" i="1"/>
  <c r="L279" i="1"/>
  <c r="I898" i="1"/>
  <c r="K276" i="1"/>
  <c r="L276" i="1"/>
  <c r="I896" i="1"/>
  <c r="I276" i="1"/>
  <c r="K124" i="6"/>
  <c r="L124" i="6"/>
  <c r="J122" i="6"/>
  <c r="I314" i="1"/>
  <c r="J314" i="1"/>
  <c r="J1066" i="1"/>
  <c r="I335" i="1"/>
  <c r="J335" i="1"/>
  <c r="J1342" i="1"/>
  <c r="J524" i="1"/>
  <c r="K524" i="1"/>
  <c r="C347" i="1"/>
  <c r="J520" i="1"/>
  <c r="J525" i="1"/>
  <c r="K525" i="1"/>
  <c r="K1342" i="1"/>
  <c r="K335" i="1"/>
  <c r="K344" i="1"/>
  <c r="K346" i="1"/>
  <c r="L1342" i="1"/>
  <c r="L335" i="1"/>
  <c r="L344" i="1"/>
  <c r="L346" i="1"/>
  <c r="L361" i="1"/>
  <c r="K361" i="1"/>
  <c r="L55" i="11"/>
  <c r="L975" i="1"/>
  <c r="K76" i="2"/>
  <c r="K227" i="1"/>
  <c r="L227" i="1"/>
  <c r="K239" i="1"/>
  <c r="L239" i="1"/>
  <c r="K249" i="1"/>
  <c r="K251" i="1"/>
  <c r="L249" i="1"/>
  <c r="L251" i="1"/>
  <c r="I890" i="1"/>
  <c r="K116" i="6"/>
  <c r="L116" i="6"/>
  <c r="L110" i="6"/>
  <c r="L243" i="1"/>
  <c r="L245" i="1"/>
  <c r="K110" i="6"/>
  <c r="K243" i="1"/>
  <c r="K245" i="1"/>
  <c r="I884" i="1"/>
  <c r="K229" i="1"/>
  <c r="L229" i="1"/>
  <c r="I877" i="1"/>
  <c r="I878" i="1"/>
  <c r="K228" i="1"/>
  <c r="L228" i="1"/>
  <c r="L230" i="1"/>
  <c r="K230" i="1"/>
  <c r="I876" i="1"/>
  <c r="I858" i="1"/>
  <c r="E858" i="1"/>
  <c r="C858" i="1"/>
  <c r="F84" i="6"/>
  <c r="F858" i="1"/>
  <c r="D84" i="6"/>
  <c r="D858" i="1"/>
  <c r="K520" i="1"/>
  <c r="B4" i="17"/>
  <c r="L76" i="2"/>
  <c r="L433" i="1"/>
  <c r="L155" i="1"/>
  <c r="K433" i="1"/>
  <c r="K155" i="1"/>
  <c r="L232" i="1"/>
  <c r="H858" i="1"/>
  <c r="K232" i="1"/>
  <c r="B10" i="17"/>
  <c r="C4" i="17"/>
  <c r="K852" i="1"/>
  <c r="K198" i="1"/>
  <c r="L852" i="1"/>
  <c r="L198" i="1"/>
  <c r="K851" i="1"/>
  <c r="K197" i="1"/>
  <c r="L851" i="1"/>
  <c r="L197" i="1"/>
  <c r="I851" i="1"/>
  <c r="I852" i="1"/>
  <c r="I198" i="1"/>
  <c r="J198" i="1"/>
  <c r="K850" i="1"/>
  <c r="K196" i="1"/>
  <c r="L850" i="1"/>
  <c r="L196" i="1"/>
  <c r="I850" i="1"/>
  <c r="I841" i="1"/>
  <c r="I840" i="1"/>
  <c r="K839" i="1"/>
  <c r="K150" i="1"/>
  <c r="I839" i="1"/>
  <c r="L65" i="6"/>
  <c r="L839" i="1"/>
  <c r="L150" i="1"/>
  <c r="I838" i="1"/>
  <c r="J62" i="6"/>
  <c r="J836" i="1"/>
  <c r="I837" i="1"/>
  <c r="I836" i="1"/>
  <c r="K835" i="1"/>
  <c r="K134" i="1"/>
  <c r="L835" i="1"/>
  <c r="L134" i="1"/>
  <c r="I835" i="1"/>
  <c r="I833" i="1"/>
  <c r="L834" i="1"/>
  <c r="L133" i="1"/>
  <c r="K834" i="1"/>
  <c r="K133" i="1"/>
  <c r="I834" i="1"/>
  <c r="I832" i="1"/>
  <c r="I831" i="1"/>
  <c r="K828" i="1"/>
  <c r="K82" i="1"/>
  <c r="L828" i="1"/>
  <c r="L82" i="1"/>
  <c r="I829" i="1"/>
  <c r="I828" i="1"/>
  <c r="I827" i="1"/>
  <c r="I826" i="1"/>
  <c r="I823" i="1"/>
  <c r="K825" i="1"/>
  <c r="K76" i="1"/>
  <c r="L825" i="1"/>
  <c r="L76" i="1"/>
  <c r="I825" i="1"/>
  <c r="K824" i="1"/>
  <c r="K74" i="1"/>
  <c r="L824" i="1"/>
  <c r="L74" i="1"/>
  <c r="I824" i="1"/>
  <c r="I822" i="1"/>
  <c r="I821" i="1"/>
  <c r="I820" i="1"/>
  <c r="I819" i="1"/>
  <c r="I808" i="1"/>
  <c r="I807" i="1"/>
  <c r="I806" i="1"/>
  <c r="I794" i="1"/>
  <c r="I793" i="1"/>
  <c r="I791" i="1"/>
  <c r="I790" i="1"/>
  <c r="I789" i="1"/>
  <c r="I787" i="1"/>
  <c r="I786" i="1"/>
  <c r="I785" i="1"/>
  <c r="I805" i="1"/>
  <c r="I804" i="1"/>
  <c r="K62" i="6"/>
  <c r="C7" i="17"/>
  <c r="C6" i="17"/>
  <c r="C5" i="17"/>
  <c r="C8" i="17"/>
  <c r="I830" i="1"/>
  <c r="I842" i="1"/>
  <c r="I788" i="1"/>
  <c r="I795" i="1"/>
  <c r="G143" i="1"/>
  <c r="I560" i="1"/>
  <c r="J560" i="1"/>
  <c r="I562" i="1"/>
  <c r="J562" i="1"/>
  <c r="G60" i="3"/>
  <c r="G421" i="1"/>
  <c r="J64" i="2"/>
  <c r="G64" i="2"/>
  <c r="K836" i="1"/>
  <c r="K139" i="1"/>
  <c r="L62" i="6"/>
  <c r="L836" i="1"/>
  <c r="L139" i="1"/>
  <c r="C10" i="17"/>
  <c r="I143" i="1"/>
  <c r="J143" i="1"/>
  <c r="C19" i="15"/>
  <c r="D19" i="15"/>
  <c r="E19" i="15"/>
  <c r="G19" i="15"/>
  <c r="B19" i="15"/>
  <c r="C17" i="15"/>
  <c r="D17" i="15"/>
  <c r="E17" i="15"/>
  <c r="G17" i="15"/>
  <c r="B17" i="15"/>
  <c r="G13" i="15"/>
  <c r="G11" i="15"/>
  <c r="G9" i="15"/>
  <c r="G7" i="15"/>
  <c r="G5" i="15"/>
  <c r="G25" i="15"/>
  <c r="F25" i="15"/>
  <c r="E25" i="15"/>
  <c r="D25" i="15"/>
  <c r="C25" i="15"/>
  <c r="B25" i="15"/>
  <c r="E21" i="15"/>
  <c r="C21" i="15"/>
  <c r="D21" i="15"/>
  <c r="B21" i="15"/>
  <c r="G834" i="1"/>
  <c r="G21" i="15"/>
  <c r="D10" i="1"/>
  <c r="E10" i="1"/>
  <c r="C10" i="1"/>
  <c r="I727" i="1"/>
  <c r="I57" i="1"/>
  <c r="J57" i="1"/>
  <c r="I649" i="1"/>
  <c r="J649" i="1"/>
  <c r="I639" i="1"/>
  <c r="J639" i="1"/>
  <c r="I635" i="1"/>
  <c r="J635" i="1"/>
  <c r="I632" i="1"/>
  <c r="J632" i="1"/>
  <c r="I631" i="1"/>
  <c r="J631" i="1"/>
  <c r="L275" i="1"/>
  <c r="K275" i="1"/>
  <c r="K113" i="1"/>
  <c r="I113" i="1"/>
  <c r="J113" i="1"/>
  <c r="D113" i="1"/>
  <c r="E113" i="1"/>
  <c r="F113" i="1"/>
  <c r="G113" i="1"/>
  <c r="C113" i="1"/>
  <c r="K111" i="1"/>
  <c r="I111" i="1"/>
  <c r="J111" i="1"/>
  <c r="D111" i="1"/>
  <c r="E111" i="1"/>
  <c r="F111" i="1"/>
  <c r="G111" i="1"/>
  <c r="C111" i="1"/>
  <c r="L556" i="1"/>
  <c r="L113" i="1"/>
  <c r="L555" i="1"/>
  <c r="L111" i="1"/>
  <c r="L553" i="1"/>
  <c r="L97" i="1"/>
  <c r="K618" i="1"/>
  <c r="L618" i="1"/>
  <c r="D618" i="1"/>
  <c r="E618" i="1"/>
  <c r="F618" i="1"/>
  <c r="G618" i="1"/>
  <c r="C618" i="1"/>
  <c r="K547" i="1"/>
  <c r="K68" i="1"/>
  <c r="E494" i="1"/>
  <c r="I155" i="1"/>
  <c r="J155" i="1"/>
  <c r="B12" i="14"/>
  <c r="B8" i="14"/>
  <c r="I70" i="6"/>
  <c r="J56" i="6"/>
  <c r="J830" i="1"/>
  <c r="J57" i="6"/>
  <c r="J831" i="1"/>
  <c r="K57" i="6"/>
  <c r="K56" i="6"/>
  <c r="I352" i="1"/>
  <c r="J352" i="1"/>
  <c r="G346" i="1"/>
  <c r="F17" i="15"/>
  <c r="I279" i="1"/>
  <c r="I249" i="1"/>
  <c r="I243" i="1"/>
  <c r="L56" i="6"/>
  <c r="L830" i="1"/>
  <c r="L90" i="1"/>
  <c r="K830" i="1"/>
  <c r="K90" i="1"/>
  <c r="L57" i="6"/>
  <c r="L831" i="1"/>
  <c r="L91" i="1"/>
  <c r="K831" i="1"/>
  <c r="K91" i="1"/>
  <c r="I251" i="1"/>
  <c r="J251" i="1"/>
  <c r="I245" i="1"/>
  <c r="J245" i="1"/>
  <c r="I230" i="1"/>
  <c r="I229" i="1"/>
  <c r="I228" i="1"/>
  <c r="I203" i="1"/>
  <c r="J203" i="1"/>
  <c r="I197" i="1"/>
  <c r="J197" i="1"/>
  <c r="I196" i="1"/>
  <c r="J196" i="1"/>
  <c r="I162" i="1"/>
  <c r="J162" i="1"/>
  <c r="I158" i="1"/>
  <c r="J158" i="1"/>
  <c r="I151" i="1"/>
  <c r="J151" i="1"/>
  <c r="I150" i="1"/>
  <c r="J150" i="1"/>
  <c r="I146" i="1"/>
  <c r="J146" i="1"/>
  <c r="I139" i="1"/>
  <c r="J139" i="1"/>
  <c r="I134" i="1"/>
  <c r="J134" i="1"/>
  <c r="I133" i="1"/>
  <c r="J133" i="1"/>
  <c r="I132" i="1"/>
  <c r="J132" i="1"/>
  <c r="I91" i="1"/>
  <c r="J91" i="1"/>
  <c r="I90" i="1"/>
  <c r="J90" i="1"/>
  <c r="I83" i="1"/>
  <c r="J83" i="1"/>
  <c r="I82" i="1"/>
  <c r="J82" i="1"/>
  <c r="I80" i="1"/>
  <c r="J80" i="1"/>
  <c r="I77" i="1"/>
  <c r="J77" i="1"/>
  <c r="I76" i="1"/>
  <c r="J76" i="1"/>
  <c r="I74" i="1"/>
  <c r="J74" i="1"/>
  <c r="I73" i="1"/>
  <c r="J73" i="1"/>
  <c r="I69" i="1"/>
  <c r="J69" i="1"/>
  <c r="J205" i="1"/>
  <c r="D8" i="17"/>
  <c r="I21" i="1"/>
  <c r="J21" i="1"/>
  <c r="H18" i="1"/>
  <c r="I284" i="1"/>
  <c r="I283" i="1"/>
  <c r="I1399" i="1"/>
  <c r="I1400" i="1"/>
  <c r="I1401" i="1"/>
  <c r="I1398" i="1"/>
  <c r="I84" i="1"/>
  <c r="J84" i="1"/>
  <c r="I1384" i="1"/>
  <c r="J1384" i="1"/>
  <c r="I1385" i="1"/>
  <c r="J1385" i="1"/>
  <c r="I1386" i="1"/>
  <c r="J1386" i="1"/>
  <c r="I1387" i="1"/>
  <c r="J1387" i="1"/>
  <c r="I1388" i="1"/>
  <c r="J1388" i="1"/>
  <c r="I1383" i="1"/>
  <c r="I1363" i="1"/>
  <c r="J1363" i="1"/>
  <c r="I1364" i="1"/>
  <c r="J1364" i="1"/>
  <c r="I1365" i="1"/>
  <c r="J1365" i="1"/>
  <c r="I1366" i="1"/>
  <c r="J1366" i="1"/>
  <c r="I1367" i="1"/>
  <c r="J1367" i="1"/>
  <c r="I1368" i="1"/>
  <c r="J1368" i="1"/>
  <c r="I1369" i="1"/>
  <c r="J1369" i="1"/>
  <c r="I1370" i="1"/>
  <c r="J1370" i="1"/>
  <c r="I1371" i="1"/>
  <c r="J1371" i="1"/>
  <c r="I1372" i="1"/>
  <c r="J1372" i="1"/>
  <c r="I1373" i="1"/>
  <c r="J1373" i="1"/>
  <c r="I1374" i="1"/>
  <c r="J1374" i="1"/>
  <c r="I1375" i="1"/>
  <c r="J1375" i="1"/>
  <c r="I1376" i="1"/>
  <c r="J1376" i="1"/>
  <c r="I1377" i="1"/>
  <c r="J1377" i="1"/>
  <c r="I1362" i="1"/>
  <c r="I323" i="1"/>
  <c r="J323" i="1"/>
  <c r="I333" i="1"/>
  <c r="J333" i="1"/>
  <c r="I334" i="1"/>
  <c r="J334" i="1"/>
  <c r="I1341" i="1"/>
  <c r="I1318" i="1"/>
  <c r="I1315" i="1"/>
  <c r="I1316" i="1"/>
  <c r="I1317" i="1"/>
  <c r="I1314" i="1"/>
  <c r="I266" i="1"/>
  <c r="I1308" i="1"/>
  <c r="I1307" i="1"/>
  <c r="I220" i="1"/>
  <c r="I1293" i="1"/>
  <c r="I1294" i="1"/>
  <c r="I1295" i="1"/>
  <c r="I1292" i="1"/>
  <c r="I179" i="1"/>
  <c r="J179" i="1"/>
  <c r="I1284" i="1"/>
  <c r="J1284" i="1"/>
  <c r="I1281" i="1"/>
  <c r="J1281" i="1"/>
  <c r="I1267" i="1"/>
  <c r="J1267" i="1"/>
  <c r="I1268" i="1"/>
  <c r="J1268" i="1"/>
  <c r="I1269" i="1"/>
  <c r="J1269" i="1"/>
  <c r="I1270" i="1"/>
  <c r="J1270" i="1"/>
  <c r="I1271" i="1"/>
  <c r="J1271" i="1"/>
  <c r="I1266" i="1"/>
  <c r="I1246" i="1"/>
  <c r="J1246" i="1"/>
  <c r="I1247" i="1"/>
  <c r="J1247" i="1"/>
  <c r="I1248" i="1"/>
  <c r="J1248" i="1"/>
  <c r="I1249" i="1"/>
  <c r="J1249" i="1"/>
  <c r="I1250" i="1"/>
  <c r="J1250" i="1"/>
  <c r="I1251" i="1"/>
  <c r="J1251" i="1"/>
  <c r="I1252" i="1"/>
  <c r="J1252" i="1"/>
  <c r="I1253" i="1"/>
  <c r="J1253" i="1"/>
  <c r="I1254" i="1"/>
  <c r="J1254" i="1"/>
  <c r="I1255" i="1"/>
  <c r="J1255" i="1"/>
  <c r="I1256" i="1"/>
  <c r="J1256" i="1"/>
  <c r="I1257" i="1"/>
  <c r="J1257" i="1"/>
  <c r="I1258" i="1"/>
  <c r="J1258" i="1"/>
  <c r="I1259" i="1"/>
  <c r="J1259" i="1"/>
  <c r="I1260" i="1"/>
  <c r="J1260" i="1"/>
  <c r="I1245" i="1"/>
  <c r="I1225" i="1"/>
  <c r="I1226" i="1"/>
  <c r="J1226" i="1"/>
  <c r="I1227" i="1"/>
  <c r="I1228" i="1"/>
  <c r="I1229" i="1"/>
  <c r="I1230" i="1"/>
  <c r="I1224" i="1"/>
  <c r="I1210" i="1"/>
  <c r="J1210" i="1"/>
  <c r="I1211" i="1"/>
  <c r="J1211" i="1"/>
  <c r="I1212" i="1"/>
  <c r="J1212" i="1"/>
  <c r="I1213" i="1"/>
  <c r="J1213" i="1"/>
  <c r="I1214" i="1"/>
  <c r="J1214" i="1"/>
  <c r="I1216" i="1"/>
  <c r="J1216" i="1"/>
  <c r="I1208" i="1"/>
  <c r="I1185" i="1"/>
  <c r="I1184" i="1"/>
  <c r="I235" i="1"/>
  <c r="I1169" i="1"/>
  <c r="J1169" i="1"/>
  <c r="I1170" i="1"/>
  <c r="J1170" i="1"/>
  <c r="I1171" i="1"/>
  <c r="J1171" i="1"/>
  <c r="I1172" i="1"/>
  <c r="J1172" i="1"/>
  <c r="I1168" i="1"/>
  <c r="I1160" i="1"/>
  <c r="I182" i="1"/>
  <c r="J182" i="1"/>
  <c r="I1161" i="1"/>
  <c r="I1162" i="1"/>
  <c r="I1159" i="1"/>
  <c r="J1159" i="1"/>
  <c r="I1136" i="1"/>
  <c r="J1136" i="1"/>
  <c r="I1137" i="1"/>
  <c r="J1137" i="1"/>
  <c r="I1138" i="1"/>
  <c r="J1138" i="1"/>
  <c r="I1139" i="1"/>
  <c r="J1139" i="1"/>
  <c r="I1140" i="1"/>
  <c r="J1140" i="1"/>
  <c r="I1141" i="1"/>
  <c r="I1142" i="1"/>
  <c r="J1142" i="1"/>
  <c r="I1143" i="1"/>
  <c r="I1144" i="1"/>
  <c r="I1145" i="1"/>
  <c r="J1145" i="1"/>
  <c r="I1146" i="1"/>
  <c r="J1146" i="1"/>
  <c r="I1147" i="1"/>
  <c r="J1147" i="1"/>
  <c r="I1148" i="1"/>
  <c r="J1148" i="1"/>
  <c r="I1149" i="1"/>
  <c r="J1149" i="1"/>
  <c r="I1150" i="1"/>
  <c r="J1150" i="1"/>
  <c r="I1151" i="1"/>
  <c r="J1151" i="1"/>
  <c r="I1135" i="1"/>
  <c r="I1121" i="1"/>
  <c r="J1121" i="1"/>
  <c r="I1122" i="1"/>
  <c r="J1122" i="1"/>
  <c r="I1123" i="1"/>
  <c r="J1123" i="1"/>
  <c r="I1124" i="1"/>
  <c r="J1124" i="1"/>
  <c r="I1125" i="1"/>
  <c r="J1125" i="1"/>
  <c r="I1120" i="1"/>
  <c r="I1099" i="1"/>
  <c r="I1100" i="1"/>
  <c r="I1101" i="1"/>
  <c r="I1102" i="1"/>
  <c r="I1103" i="1"/>
  <c r="I1104" i="1"/>
  <c r="I1105" i="1"/>
  <c r="I1106" i="1"/>
  <c r="I1107" i="1"/>
  <c r="I1108" i="1"/>
  <c r="I1109" i="1"/>
  <c r="I19" i="1"/>
  <c r="J19" i="1"/>
  <c r="I1110" i="1"/>
  <c r="I1111" i="1"/>
  <c r="I23" i="1"/>
  <c r="J23" i="1"/>
  <c r="I1112" i="1"/>
  <c r="I1113" i="1"/>
  <c r="I1114" i="1"/>
  <c r="I1098" i="1"/>
  <c r="I1082" i="1"/>
  <c r="I1081" i="1"/>
  <c r="I1071" i="1"/>
  <c r="J1071" i="1"/>
  <c r="I1072" i="1"/>
  <c r="J1072" i="1"/>
  <c r="I1073" i="1"/>
  <c r="J1073" i="1"/>
  <c r="I1065" i="1"/>
  <c r="J1065" i="1"/>
  <c r="I1033" i="1"/>
  <c r="I1034" i="1"/>
  <c r="I267" i="1"/>
  <c r="I1035" i="1"/>
  <c r="I268" i="1"/>
  <c r="I1036" i="1"/>
  <c r="I1037" i="1"/>
  <c r="I270" i="1"/>
  <c r="I1038" i="1"/>
  <c r="I273" i="1"/>
  <c r="I1039" i="1"/>
  <c r="I1040" i="1"/>
  <c r="I281" i="1"/>
  <c r="I1041" i="1"/>
  <c r="I282" i="1"/>
  <c r="I1042" i="1"/>
  <c r="I1032" i="1"/>
  <c r="I263" i="1"/>
  <c r="I1026" i="1"/>
  <c r="I255" i="1"/>
  <c r="I1020" i="1"/>
  <c r="I236" i="1"/>
  <c r="I1014" i="1"/>
  <c r="I1013" i="1"/>
  <c r="I1007" i="1"/>
  <c r="I222" i="1"/>
  <c r="I994" i="1"/>
  <c r="I177" i="1"/>
  <c r="J177" i="1"/>
  <c r="I995" i="1"/>
  <c r="I178" i="1"/>
  <c r="J178" i="1"/>
  <c r="I993" i="1"/>
  <c r="J993" i="1"/>
  <c r="J997" i="1"/>
  <c r="I966" i="1"/>
  <c r="I967" i="1"/>
  <c r="I968" i="1"/>
  <c r="I71" i="1"/>
  <c r="J71" i="1"/>
  <c r="I969" i="1"/>
  <c r="I78" i="1"/>
  <c r="J78" i="1"/>
  <c r="I970" i="1"/>
  <c r="I81" i="1"/>
  <c r="J81" i="1"/>
  <c r="I971" i="1"/>
  <c r="I972" i="1"/>
  <c r="I973" i="1"/>
  <c r="I974" i="1"/>
  <c r="I975" i="1"/>
  <c r="I976" i="1"/>
  <c r="I122" i="1"/>
  <c r="J122" i="1"/>
  <c r="I977" i="1"/>
  <c r="I978" i="1"/>
  <c r="I979" i="1"/>
  <c r="I136" i="1"/>
  <c r="J136" i="1"/>
  <c r="I980" i="1"/>
  <c r="I138" i="1"/>
  <c r="J138" i="1"/>
  <c r="I981" i="1"/>
  <c r="I982" i="1"/>
  <c r="I983" i="1"/>
  <c r="I984" i="1"/>
  <c r="I985" i="1"/>
  <c r="I965" i="1"/>
  <c r="I951" i="1"/>
  <c r="I952" i="1"/>
  <c r="I953" i="1"/>
  <c r="I954" i="1"/>
  <c r="I955" i="1"/>
  <c r="I950" i="1"/>
  <c r="I932" i="1"/>
  <c r="I10" i="1"/>
  <c r="J10" i="1"/>
  <c r="I933" i="1"/>
  <c r="I934" i="1"/>
  <c r="I935" i="1"/>
  <c r="I936" i="1"/>
  <c r="I937" i="1"/>
  <c r="I938" i="1"/>
  <c r="I939" i="1"/>
  <c r="I940" i="1"/>
  <c r="I941" i="1"/>
  <c r="I22" i="1"/>
  <c r="J22" i="1"/>
  <c r="I942" i="1"/>
  <c r="I943" i="1"/>
  <c r="J943" i="1"/>
  <c r="I944" i="1"/>
  <c r="J944" i="1"/>
  <c r="I931" i="1"/>
  <c r="I749" i="1"/>
  <c r="I101" i="1"/>
  <c r="J101" i="1"/>
  <c r="I750" i="1"/>
  <c r="I105" i="1"/>
  <c r="J105" i="1"/>
  <c r="I751" i="1"/>
  <c r="I106" i="1"/>
  <c r="J106" i="1"/>
  <c r="I752" i="1"/>
  <c r="I123" i="1"/>
  <c r="J123" i="1"/>
  <c r="I753" i="1"/>
  <c r="I124" i="1"/>
  <c r="J124" i="1"/>
  <c r="I754" i="1"/>
  <c r="I125" i="1"/>
  <c r="J125" i="1"/>
  <c r="I755" i="1"/>
  <c r="I137" i="1"/>
  <c r="J137" i="1"/>
  <c r="I756" i="1"/>
  <c r="I748" i="1"/>
  <c r="I737" i="1"/>
  <c r="I738" i="1"/>
  <c r="I736" i="1"/>
  <c r="I726" i="1"/>
  <c r="I728" i="1"/>
  <c r="J728" i="1"/>
  <c r="I729" i="1"/>
  <c r="J729" i="1"/>
  <c r="I725" i="1"/>
  <c r="I713" i="1"/>
  <c r="J713" i="1"/>
  <c r="I714" i="1"/>
  <c r="J714" i="1"/>
  <c r="I715" i="1"/>
  <c r="J715" i="1"/>
  <c r="I717" i="1"/>
  <c r="J717" i="1"/>
  <c r="I718" i="1"/>
  <c r="I719" i="1"/>
  <c r="J719" i="1"/>
  <c r="I709" i="1"/>
  <c r="I694" i="1"/>
  <c r="J694" i="1"/>
  <c r="I661" i="1"/>
  <c r="J661" i="1"/>
  <c r="I662" i="1"/>
  <c r="J662" i="1"/>
  <c r="I663" i="1"/>
  <c r="J663" i="1"/>
  <c r="I664" i="1"/>
  <c r="I665" i="1"/>
  <c r="J665" i="1"/>
  <c r="I666" i="1"/>
  <c r="I667" i="1"/>
  <c r="I668" i="1"/>
  <c r="I669" i="1"/>
  <c r="I670" i="1"/>
  <c r="J670" i="1"/>
  <c r="I671" i="1"/>
  <c r="J671" i="1"/>
  <c r="I660" i="1"/>
  <c r="J660" i="1"/>
  <c r="I647" i="1"/>
  <c r="J647" i="1"/>
  <c r="I648" i="1"/>
  <c r="J648" i="1"/>
  <c r="I650" i="1"/>
  <c r="J650" i="1"/>
  <c r="I646" i="1"/>
  <c r="J646" i="1"/>
  <c r="I633" i="1"/>
  <c r="J633" i="1"/>
  <c r="I634" i="1"/>
  <c r="J634" i="1"/>
  <c r="I636" i="1"/>
  <c r="J636" i="1"/>
  <c r="I637" i="1"/>
  <c r="J637" i="1"/>
  <c r="I638" i="1"/>
  <c r="J638" i="1"/>
  <c r="I640" i="1"/>
  <c r="J640" i="1"/>
  <c r="I630" i="1"/>
  <c r="I612" i="1"/>
  <c r="I546" i="1"/>
  <c r="J546" i="1"/>
  <c r="I547" i="1"/>
  <c r="I87" i="1"/>
  <c r="I549" i="1"/>
  <c r="I550" i="1"/>
  <c r="I551" i="1"/>
  <c r="I552" i="1"/>
  <c r="I553" i="1"/>
  <c r="I554" i="1"/>
  <c r="I557" i="1"/>
  <c r="J557" i="1"/>
  <c r="I558" i="1"/>
  <c r="I561" i="1"/>
  <c r="I502" i="1"/>
  <c r="J502" i="1"/>
  <c r="I329" i="1"/>
  <c r="J329" i="1"/>
  <c r="I488" i="1"/>
  <c r="I466" i="1"/>
  <c r="I271" i="1"/>
  <c r="I467" i="1"/>
  <c r="I278" i="1"/>
  <c r="I450" i="1"/>
  <c r="I180" i="1"/>
  <c r="J180" i="1"/>
  <c r="I451" i="1"/>
  <c r="I181" i="1"/>
  <c r="J181" i="1"/>
  <c r="I452" i="1"/>
  <c r="I187" i="1"/>
  <c r="J187" i="1"/>
  <c r="I453" i="1"/>
  <c r="I189" i="1"/>
  <c r="J189" i="1"/>
  <c r="I449" i="1"/>
  <c r="I442" i="1"/>
  <c r="I168" i="1"/>
  <c r="J168" i="1"/>
  <c r="I72" i="1"/>
  <c r="J72" i="1"/>
  <c r="I75" i="1"/>
  <c r="J75" i="1"/>
  <c r="I79" i="1"/>
  <c r="J79" i="1"/>
  <c r="I88" i="1"/>
  <c r="J88" i="1"/>
  <c r="I95" i="1"/>
  <c r="J95" i="1"/>
  <c r="I100" i="1"/>
  <c r="J100" i="1"/>
  <c r="I104" i="1"/>
  <c r="J104" i="1"/>
  <c r="I117" i="1"/>
  <c r="J117" i="1"/>
  <c r="I129" i="1"/>
  <c r="J129" i="1"/>
  <c r="I130" i="1"/>
  <c r="J130" i="1"/>
  <c r="I140" i="1"/>
  <c r="J140" i="1"/>
  <c r="I425" i="1"/>
  <c r="I141" i="1"/>
  <c r="J141" i="1"/>
  <c r="I426" i="1"/>
  <c r="I142" i="1"/>
  <c r="J142" i="1"/>
  <c r="I427" i="1"/>
  <c r="I428" i="1"/>
  <c r="I145" i="1"/>
  <c r="J145" i="1"/>
  <c r="I429" i="1"/>
  <c r="I152" i="1"/>
  <c r="J152" i="1"/>
  <c r="I153" i="1"/>
  <c r="I432" i="1"/>
  <c r="I154" i="1"/>
  <c r="J154" i="1"/>
  <c r="I434" i="1"/>
  <c r="I435" i="1"/>
  <c r="I436" i="1"/>
  <c r="I404" i="1"/>
  <c r="I376" i="1"/>
  <c r="J376" i="1"/>
  <c r="I378" i="1"/>
  <c r="I15" i="1"/>
  <c r="J15" i="1"/>
  <c r="I17" i="1"/>
  <c r="J17" i="1"/>
  <c r="I381" i="1"/>
  <c r="J381" i="1"/>
  <c r="I382" i="1"/>
  <c r="J382" i="1"/>
  <c r="I383" i="1"/>
  <c r="I384" i="1"/>
  <c r="G668" i="1"/>
  <c r="J1208" i="1"/>
  <c r="I308" i="1"/>
  <c r="J308" i="1"/>
  <c r="I306" i="1"/>
  <c r="J306" i="1"/>
  <c r="J488" i="1"/>
  <c r="J496" i="1"/>
  <c r="J498" i="1"/>
  <c r="J630" i="1"/>
  <c r="I9" i="1"/>
  <c r="J9" i="1"/>
  <c r="I357" i="1"/>
  <c r="J357" i="1"/>
  <c r="J1082" i="1"/>
  <c r="I359" i="1"/>
  <c r="J359" i="1"/>
  <c r="J1230" i="1"/>
  <c r="I354" i="1"/>
  <c r="J354" i="1"/>
  <c r="J1081" i="1"/>
  <c r="I349" i="1"/>
  <c r="J349" i="1"/>
  <c r="J1224" i="1"/>
  <c r="I356" i="1"/>
  <c r="J356" i="1"/>
  <c r="J1229" i="1"/>
  <c r="I350" i="1"/>
  <c r="J350" i="1"/>
  <c r="J1225" i="1"/>
  <c r="I322" i="1"/>
  <c r="J322" i="1"/>
  <c r="J1341" i="1"/>
  <c r="J1349" i="1"/>
  <c r="J1351" i="1"/>
  <c r="B11" i="18"/>
  <c r="I342" i="1"/>
  <c r="J342" i="1"/>
  <c r="J612" i="1"/>
  <c r="J618" i="1"/>
  <c r="J620" i="1"/>
  <c r="B5" i="18"/>
  <c r="I353" i="1"/>
  <c r="J353" i="1"/>
  <c r="J1227" i="1"/>
  <c r="I355" i="1"/>
  <c r="J355" i="1"/>
  <c r="J1228" i="1"/>
  <c r="I147" i="1"/>
  <c r="J147" i="1"/>
  <c r="J561" i="1"/>
  <c r="I97" i="1"/>
  <c r="J97" i="1"/>
  <c r="J553" i="1"/>
  <c r="I89" i="1"/>
  <c r="J89" i="1"/>
  <c r="J549" i="1"/>
  <c r="J652" i="1"/>
  <c r="J668" i="1"/>
  <c r="K668" i="1"/>
  <c r="L668" i="1"/>
  <c r="I70" i="1"/>
  <c r="J70" i="1"/>
  <c r="J664" i="1"/>
  <c r="I44" i="1"/>
  <c r="J44" i="1"/>
  <c r="J736" i="1"/>
  <c r="I26" i="1"/>
  <c r="J26" i="1"/>
  <c r="J384" i="1"/>
  <c r="I161" i="1"/>
  <c r="J161" i="1"/>
  <c r="J436" i="1"/>
  <c r="J262" i="1"/>
  <c r="I131" i="1"/>
  <c r="J131" i="1"/>
  <c r="J558" i="1"/>
  <c r="I94" i="1"/>
  <c r="J94" i="1"/>
  <c r="J552" i="1"/>
  <c r="I256" i="1"/>
  <c r="I258" i="1"/>
  <c r="J258" i="1"/>
  <c r="I275" i="1"/>
  <c r="J275" i="1"/>
  <c r="J642" i="1"/>
  <c r="J654" i="1"/>
  <c r="I119" i="1"/>
  <c r="J119" i="1"/>
  <c r="J667" i="1"/>
  <c r="I46" i="1"/>
  <c r="J46" i="1"/>
  <c r="J738" i="1"/>
  <c r="I328" i="1"/>
  <c r="J328" i="1"/>
  <c r="I115" i="1"/>
  <c r="J115" i="1"/>
  <c r="J1144" i="1"/>
  <c r="I325" i="1"/>
  <c r="J325" i="1"/>
  <c r="J1286" i="1"/>
  <c r="I185" i="1"/>
  <c r="J185" i="1"/>
  <c r="J1294" i="1"/>
  <c r="J1379" i="1"/>
  <c r="I160" i="1"/>
  <c r="J160" i="1"/>
  <c r="J435" i="1"/>
  <c r="I116" i="1"/>
  <c r="J116" i="1"/>
  <c r="J666" i="1"/>
  <c r="I327" i="1"/>
  <c r="J327" i="1"/>
  <c r="I114" i="1"/>
  <c r="J114" i="1"/>
  <c r="J1143" i="1"/>
  <c r="I195" i="1"/>
  <c r="J1168" i="1"/>
  <c r="J1174" i="1"/>
  <c r="I330" i="1"/>
  <c r="J330" i="1"/>
  <c r="I321" i="1"/>
  <c r="J321" i="1"/>
  <c r="I184" i="1"/>
  <c r="J184" i="1"/>
  <c r="J1293" i="1"/>
  <c r="I274" i="1"/>
  <c r="J1317" i="1"/>
  <c r="J274" i="1"/>
  <c r="I24" i="1"/>
  <c r="J24" i="1"/>
  <c r="J383" i="1"/>
  <c r="I93" i="1"/>
  <c r="J93" i="1"/>
  <c r="J551" i="1"/>
  <c r="I68" i="1"/>
  <c r="J68" i="1"/>
  <c r="J547" i="1"/>
  <c r="I265" i="1"/>
  <c r="J265" i="1"/>
  <c r="J732" i="1"/>
  <c r="I45" i="1"/>
  <c r="J45" i="1"/>
  <c r="J737" i="1"/>
  <c r="I156" i="1"/>
  <c r="J156" i="1"/>
  <c r="J434" i="1"/>
  <c r="I358" i="1"/>
  <c r="J358" i="1"/>
  <c r="I98" i="1"/>
  <c r="J98" i="1"/>
  <c r="J554" i="1"/>
  <c r="I92" i="1"/>
  <c r="J92" i="1"/>
  <c r="J550" i="1"/>
  <c r="I280" i="1"/>
  <c r="J280" i="1"/>
  <c r="I264" i="1"/>
  <c r="J264" i="1"/>
  <c r="I121" i="1"/>
  <c r="J121" i="1"/>
  <c r="J669" i="1"/>
  <c r="I25" i="1"/>
  <c r="J25" i="1"/>
  <c r="J718" i="1"/>
  <c r="J721" i="1"/>
  <c r="I319" i="1"/>
  <c r="J319" i="1"/>
  <c r="I186" i="1"/>
  <c r="J186" i="1"/>
  <c r="J1162" i="1"/>
  <c r="I326" i="1"/>
  <c r="J326" i="1"/>
  <c r="I320" i="1"/>
  <c r="I272" i="1"/>
  <c r="J1316" i="1"/>
  <c r="J272" i="1"/>
  <c r="J1390" i="1"/>
  <c r="J227" i="1"/>
  <c r="I313" i="1"/>
  <c r="J313" i="1"/>
  <c r="I103" i="1"/>
  <c r="J103" i="1"/>
  <c r="J1141" i="1"/>
  <c r="I183" i="1"/>
  <c r="J183" i="1"/>
  <c r="J1161" i="1"/>
  <c r="I237" i="1"/>
  <c r="I239" i="1"/>
  <c r="J239" i="1"/>
  <c r="J1185" i="1"/>
  <c r="I324" i="1"/>
  <c r="J324" i="1"/>
  <c r="I188" i="1"/>
  <c r="J188" i="1"/>
  <c r="J1295" i="1"/>
  <c r="I221" i="1"/>
  <c r="I224" i="1"/>
  <c r="J224" i="1"/>
  <c r="J1308" i="1"/>
  <c r="I269" i="1"/>
  <c r="J1315" i="1"/>
  <c r="I1127" i="1"/>
  <c r="J1127" i="1"/>
  <c r="I227" i="1"/>
  <c r="I232" i="1"/>
  <c r="J232" i="1"/>
  <c r="I109" i="1"/>
  <c r="J109" i="1"/>
  <c r="I102" i="1"/>
  <c r="J102" i="1"/>
  <c r="I56" i="1"/>
  <c r="J56" i="1"/>
  <c r="I120" i="1"/>
  <c r="J120" i="1"/>
  <c r="I85" i="1"/>
  <c r="J85" i="1"/>
  <c r="I149" i="1"/>
  <c r="J149" i="1"/>
  <c r="I176" i="1"/>
  <c r="J176" i="1"/>
  <c r="I20" i="1"/>
  <c r="J20" i="1"/>
  <c r="I35" i="1"/>
  <c r="J35" i="1"/>
  <c r="I262" i="1"/>
  <c r="I12" i="1"/>
  <c r="J12" i="1"/>
  <c r="I16" i="1"/>
  <c r="J16" i="1"/>
  <c r="I13" i="1"/>
  <c r="J13" i="1"/>
  <c r="I18" i="1"/>
  <c r="J18" i="1"/>
  <c r="I14" i="1"/>
  <c r="J14" i="1"/>
  <c r="I11" i="1"/>
  <c r="J11" i="1"/>
  <c r="I34" i="1"/>
  <c r="J34" i="1"/>
  <c r="I144" i="1"/>
  <c r="J144" i="1"/>
  <c r="I86" i="1"/>
  <c r="J86" i="1"/>
  <c r="I36" i="1"/>
  <c r="J36" i="1"/>
  <c r="I33" i="1"/>
  <c r="J33" i="1"/>
  <c r="I99" i="1"/>
  <c r="J99" i="1"/>
  <c r="I32" i="1"/>
  <c r="J32" i="1"/>
  <c r="I126" i="1"/>
  <c r="J126" i="1"/>
  <c r="J52" i="4"/>
  <c r="G52" i="4"/>
  <c r="J83" i="8"/>
  <c r="K83" i="8"/>
  <c r="I39" i="7"/>
  <c r="I361" i="1"/>
  <c r="J673" i="1"/>
  <c r="J675" i="1"/>
  <c r="J1084" i="1"/>
  <c r="J1086" i="1"/>
  <c r="J1232" i="1"/>
  <c r="J1234" i="1"/>
  <c r="I344" i="1"/>
  <c r="J344" i="1"/>
  <c r="J346" i="1"/>
  <c r="J320" i="1"/>
  <c r="J195" i="1"/>
  <c r="J200" i="1"/>
  <c r="D7" i="17"/>
  <c r="H19" i="15"/>
  <c r="J361" i="1"/>
  <c r="J191" i="1"/>
  <c r="D6" i="17"/>
  <c r="J504" i="1"/>
  <c r="J506" i="1"/>
  <c r="B4" i="18"/>
  <c r="J1297" i="1"/>
  <c r="J1392" i="1"/>
  <c r="J1407" i="1"/>
  <c r="J1409" i="1"/>
  <c r="J269" i="1"/>
  <c r="J1320" i="1"/>
  <c r="J696" i="1"/>
  <c r="J698" i="1"/>
  <c r="B6" i="18"/>
  <c r="J1075" i="1"/>
  <c r="J1077" i="1"/>
  <c r="J237" i="1"/>
  <c r="J1187" i="1"/>
  <c r="J1189" i="1"/>
  <c r="J1191" i="1"/>
  <c r="J1193" i="1"/>
  <c r="J564" i="1"/>
  <c r="J566" i="1"/>
  <c r="J1164" i="1"/>
  <c r="J256" i="1"/>
  <c r="J48" i="1"/>
  <c r="J740" i="1"/>
  <c r="J742" i="1"/>
  <c r="J762" i="1"/>
  <c r="J765" i="1"/>
  <c r="J221" i="1"/>
  <c r="J1310" i="1"/>
  <c r="J1218" i="1"/>
  <c r="J1220" i="1"/>
  <c r="J1153" i="1"/>
  <c r="J1155" i="1"/>
  <c r="J677" i="1"/>
  <c r="J679" i="1"/>
  <c r="L83" i="8"/>
  <c r="L1318" i="1"/>
  <c r="K1318" i="1"/>
  <c r="I286" i="1"/>
  <c r="I67" i="1"/>
  <c r="J67" i="1"/>
  <c r="D67" i="1"/>
  <c r="E67" i="1"/>
  <c r="F67" i="1"/>
  <c r="C67" i="1"/>
  <c r="L66" i="1"/>
  <c r="K66" i="1"/>
  <c r="I66" i="1"/>
  <c r="J66" i="1"/>
  <c r="D66" i="1"/>
  <c r="E66" i="1"/>
  <c r="F66" i="1"/>
  <c r="C66" i="1"/>
  <c r="I65" i="1"/>
  <c r="J65" i="1"/>
  <c r="D65" i="1"/>
  <c r="E65" i="1"/>
  <c r="F65" i="1"/>
  <c r="C65" i="1"/>
  <c r="I64" i="1"/>
  <c r="J64" i="1"/>
  <c r="D64" i="1"/>
  <c r="E64" i="1"/>
  <c r="F64" i="1"/>
  <c r="C64" i="1"/>
  <c r="L63" i="1"/>
  <c r="K63" i="1"/>
  <c r="I63" i="1"/>
  <c r="J63" i="1"/>
  <c r="D63" i="1"/>
  <c r="E63" i="1"/>
  <c r="F63" i="1"/>
  <c r="C63" i="1"/>
  <c r="I62" i="1"/>
  <c r="J62" i="1"/>
  <c r="D62" i="1"/>
  <c r="E62" i="1"/>
  <c r="F62" i="1"/>
  <c r="C62" i="1"/>
  <c r="I61" i="1"/>
  <c r="J61" i="1"/>
  <c r="D61" i="1"/>
  <c r="E61" i="1"/>
  <c r="F61" i="1"/>
  <c r="C61" i="1"/>
  <c r="I60" i="1"/>
  <c r="J60" i="1"/>
  <c r="D60" i="1"/>
  <c r="E60" i="1"/>
  <c r="F60" i="1"/>
  <c r="C60" i="1"/>
  <c r="I59" i="1"/>
  <c r="J59" i="1"/>
  <c r="D59" i="1"/>
  <c r="E59" i="1"/>
  <c r="F59" i="1"/>
  <c r="C59" i="1"/>
  <c r="I58" i="1"/>
  <c r="J58" i="1"/>
  <c r="D58" i="1"/>
  <c r="E58" i="1"/>
  <c r="F58" i="1"/>
  <c r="C58" i="1"/>
  <c r="D57" i="1"/>
  <c r="E57" i="1"/>
  <c r="F57" i="1"/>
  <c r="C57" i="1"/>
  <c r="D56" i="1"/>
  <c r="E56" i="1"/>
  <c r="C56" i="1"/>
  <c r="J604" i="1"/>
  <c r="B10" i="18"/>
  <c r="J1322" i="1"/>
  <c r="J1324" i="1"/>
  <c r="J1326" i="1"/>
  <c r="J1333" i="1"/>
  <c r="J1088" i="1"/>
  <c r="B9" i="18"/>
  <c r="B14" i="18"/>
  <c r="I346" i="1"/>
  <c r="I363" i="1"/>
  <c r="J363" i="1"/>
  <c r="J769" i="1"/>
  <c r="J772" i="1"/>
  <c r="J774" i="1"/>
  <c r="D7" i="16"/>
  <c r="J1437" i="1"/>
  <c r="J1440" i="1"/>
  <c r="J1442" i="1"/>
  <c r="D12" i="16"/>
  <c r="J685" i="1"/>
  <c r="J688" i="1"/>
  <c r="J690" i="1"/>
  <c r="D6" i="16"/>
  <c r="I19" i="15"/>
  <c r="I288" i="1"/>
  <c r="C16" i="1"/>
  <c r="C15" i="1"/>
  <c r="C14" i="1"/>
  <c r="C13" i="1"/>
  <c r="C12" i="1"/>
  <c r="C11" i="1"/>
  <c r="D9" i="1"/>
  <c r="E9" i="1"/>
  <c r="C9" i="1"/>
  <c r="H17" i="15"/>
  <c r="H21" i="15"/>
  <c r="C5" i="18"/>
  <c r="B16" i="18"/>
  <c r="C10" i="18"/>
  <c r="C8" i="18"/>
  <c r="C9" i="18"/>
  <c r="C6" i="18"/>
  <c r="C7" i="18"/>
  <c r="C12" i="18"/>
  <c r="C11" i="18"/>
  <c r="C4" i="18"/>
  <c r="I17" i="15"/>
  <c r="I21" i="15"/>
  <c r="D8" i="14"/>
  <c r="L363" i="1"/>
  <c r="H8" i="14"/>
  <c r="K363" i="1"/>
  <c r="I290" i="1"/>
  <c r="I292" i="1"/>
  <c r="H25" i="15"/>
  <c r="I26" i="6"/>
  <c r="C14" i="18"/>
  <c r="F8" i="14"/>
  <c r="I298" i="1"/>
  <c r="G52" i="5"/>
  <c r="G53" i="5"/>
  <c r="G54" i="5"/>
  <c r="G55" i="5"/>
  <c r="G56" i="5"/>
  <c r="G57" i="5"/>
  <c r="G58" i="5"/>
  <c r="G59" i="5"/>
  <c r="G51" i="5"/>
  <c r="L76" i="9"/>
  <c r="L78" i="9"/>
  <c r="K76" i="9"/>
  <c r="K78" i="9"/>
  <c r="J76" i="9"/>
  <c r="J78" i="9"/>
  <c r="L73" i="9"/>
  <c r="L79" i="9"/>
  <c r="L86" i="9"/>
  <c r="K73" i="9"/>
  <c r="K79" i="9"/>
  <c r="K86" i="9"/>
  <c r="I73" i="9"/>
  <c r="G73" i="9"/>
  <c r="F73" i="9"/>
  <c r="E73" i="9"/>
  <c r="D73" i="9"/>
  <c r="C73" i="9"/>
  <c r="J71" i="9"/>
  <c r="J70" i="9"/>
  <c r="J73" i="9"/>
  <c r="J77" i="9"/>
  <c r="J79" i="9"/>
  <c r="L66" i="9"/>
  <c r="J66" i="9"/>
  <c r="I66" i="9"/>
  <c r="G66" i="9"/>
  <c r="G77" i="9"/>
  <c r="G79" i="9"/>
  <c r="G86" i="9"/>
  <c r="F66" i="9"/>
  <c r="F77" i="9"/>
  <c r="F79" i="9"/>
  <c r="F86" i="9"/>
  <c r="E66" i="9"/>
  <c r="E77" i="9"/>
  <c r="E79" i="9"/>
  <c r="E86" i="9"/>
  <c r="D66" i="9"/>
  <c r="D77" i="9"/>
  <c r="D79" i="9"/>
  <c r="D86" i="9"/>
  <c r="C66" i="9"/>
  <c r="C77" i="9"/>
  <c r="C79" i="9"/>
  <c r="C86" i="9"/>
  <c r="J63" i="9"/>
  <c r="E53" i="9"/>
  <c r="L51" i="9"/>
  <c r="L53" i="9"/>
  <c r="K51" i="9"/>
  <c r="K53" i="9"/>
  <c r="I51" i="9"/>
  <c r="I53" i="9"/>
  <c r="G51" i="9"/>
  <c r="G53" i="9"/>
  <c r="F51" i="9"/>
  <c r="F53" i="9"/>
  <c r="E51" i="9"/>
  <c r="D51" i="9"/>
  <c r="D53" i="9"/>
  <c r="C51" i="9"/>
  <c r="C53" i="9"/>
  <c r="J46" i="9"/>
  <c r="J51" i="9"/>
  <c r="J53" i="9"/>
  <c r="D40" i="9"/>
  <c r="D55" i="9"/>
  <c r="D57" i="9"/>
  <c r="D85" i="9"/>
  <c r="D88" i="9"/>
  <c r="D90" i="9"/>
  <c r="L38" i="9"/>
  <c r="K38" i="9"/>
  <c r="I38" i="9"/>
  <c r="F38" i="9"/>
  <c r="E38" i="9"/>
  <c r="D38" i="9"/>
  <c r="C38" i="9"/>
  <c r="J36" i="9"/>
  <c r="G36" i="9"/>
  <c r="J35" i="9"/>
  <c r="G35" i="9"/>
  <c r="J34" i="9"/>
  <c r="G34" i="9"/>
  <c r="J33" i="9"/>
  <c r="G33" i="9"/>
  <c r="J32" i="9"/>
  <c r="G32" i="9"/>
  <c r="J31" i="9"/>
  <c r="J38" i="9"/>
  <c r="G31" i="9"/>
  <c r="G38" i="9"/>
  <c r="I27" i="9"/>
  <c r="F27" i="9"/>
  <c r="F40" i="9"/>
  <c r="F55" i="9"/>
  <c r="F57" i="9"/>
  <c r="F85" i="9"/>
  <c r="F88" i="9"/>
  <c r="F90" i="9"/>
  <c r="E27" i="9"/>
  <c r="E40" i="9"/>
  <c r="E55" i="9"/>
  <c r="E57" i="9"/>
  <c r="E85" i="9"/>
  <c r="E88" i="9"/>
  <c r="E90" i="9"/>
  <c r="D27" i="9"/>
  <c r="C27" i="9"/>
  <c r="C40" i="9"/>
  <c r="J25" i="9"/>
  <c r="G25" i="9"/>
  <c r="J24" i="9"/>
  <c r="G24" i="9"/>
  <c r="J23" i="9"/>
  <c r="G23" i="9"/>
  <c r="J22" i="9"/>
  <c r="G22" i="9"/>
  <c r="J21" i="9"/>
  <c r="G21" i="9"/>
  <c r="J20" i="9"/>
  <c r="G20" i="9"/>
  <c r="J19" i="9"/>
  <c r="G19" i="9"/>
  <c r="J18" i="9"/>
  <c r="G18" i="9"/>
  <c r="J17" i="9"/>
  <c r="G17" i="9"/>
  <c r="J16" i="9"/>
  <c r="G16" i="9"/>
  <c r="J15" i="9"/>
  <c r="G15" i="9"/>
  <c r="J14" i="9"/>
  <c r="K14" i="9"/>
  <c r="G14" i="9"/>
  <c r="J13" i="9"/>
  <c r="K13" i="9"/>
  <c r="G13" i="9"/>
  <c r="J12" i="9"/>
  <c r="G12" i="9"/>
  <c r="J11" i="9"/>
  <c r="G11" i="9"/>
  <c r="J10" i="9"/>
  <c r="G10" i="9"/>
  <c r="G27" i="9"/>
  <c r="G40" i="9"/>
  <c r="F114" i="8"/>
  <c r="F116" i="8"/>
  <c r="L114" i="8"/>
  <c r="L116" i="8"/>
  <c r="K114" i="8"/>
  <c r="K116" i="8"/>
  <c r="I114" i="8"/>
  <c r="I116" i="8"/>
  <c r="E114" i="8"/>
  <c r="E116" i="8"/>
  <c r="D114" i="8"/>
  <c r="D116" i="8"/>
  <c r="C114" i="8"/>
  <c r="C116" i="8"/>
  <c r="J112" i="8"/>
  <c r="G112" i="8"/>
  <c r="J48" i="8"/>
  <c r="G48" i="8"/>
  <c r="J109" i="8"/>
  <c r="G109" i="8"/>
  <c r="J106" i="8"/>
  <c r="G106" i="8"/>
  <c r="I85" i="8"/>
  <c r="G85" i="8"/>
  <c r="F85" i="8"/>
  <c r="E85" i="8"/>
  <c r="D85" i="8"/>
  <c r="C85" i="8"/>
  <c r="J82" i="8"/>
  <c r="K82" i="8"/>
  <c r="J81" i="8"/>
  <c r="K81" i="8"/>
  <c r="J80" i="8"/>
  <c r="K80" i="8"/>
  <c r="I75" i="8"/>
  <c r="I87" i="8"/>
  <c r="I89" i="8"/>
  <c r="I91" i="8"/>
  <c r="I98" i="8"/>
  <c r="G75" i="8"/>
  <c r="F75" i="8"/>
  <c r="F87" i="8"/>
  <c r="F89" i="8"/>
  <c r="F91" i="8"/>
  <c r="F98" i="8"/>
  <c r="E75" i="8"/>
  <c r="D75" i="8"/>
  <c r="D87" i="8"/>
  <c r="D89" i="8"/>
  <c r="D91" i="8"/>
  <c r="D98" i="8"/>
  <c r="C75" i="8"/>
  <c r="J73" i="8"/>
  <c r="K73" i="8"/>
  <c r="I62" i="8"/>
  <c r="F62" i="8"/>
  <c r="E62" i="8"/>
  <c r="D62" i="8"/>
  <c r="C62" i="8"/>
  <c r="J60" i="8"/>
  <c r="K60" i="8"/>
  <c r="G60" i="8"/>
  <c r="J59" i="8"/>
  <c r="K59" i="8"/>
  <c r="G59" i="8"/>
  <c r="J58" i="8"/>
  <c r="K58" i="8"/>
  <c r="G58" i="8"/>
  <c r="G57" i="8"/>
  <c r="L51" i="8"/>
  <c r="K51" i="8"/>
  <c r="I51" i="8"/>
  <c r="G51" i="8"/>
  <c r="F51" i="8"/>
  <c r="E51" i="8"/>
  <c r="D51" i="8"/>
  <c r="C51" i="8"/>
  <c r="I38" i="8"/>
  <c r="F38" i="8"/>
  <c r="E38" i="8"/>
  <c r="D38" i="8"/>
  <c r="C38" i="8"/>
  <c r="J36" i="8"/>
  <c r="K36" i="8"/>
  <c r="G36" i="8"/>
  <c r="J35" i="8"/>
  <c r="K35" i="8"/>
  <c r="G35" i="8"/>
  <c r="J34" i="8"/>
  <c r="K34" i="8"/>
  <c r="G34" i="8"/>
  <c r="J33" i="8"/>
  <c r="K33" i="8"/>
  <c r="G33" i="8"/>
  <c r="J32" i="8"/>
  <c r="K32" i="8"/>
  <c r="G32" i="8"/>
  <c r="J31" i="8"/>
  <c r="J1266" i="1"/>
  <c r="J1273" i="1"/>
  <c r="G31" i="8"/>
  <c r="I27" i="8"/>
  <c r="F27" i="8"/>
  <c r="E27" i="8"/>
  <c r="E40" i="8"/>
  <c r="E64" i="8"/>
  <c r="E66" i="8"/>
  <c r="E97" i="8"/>
  <c r="D27" i="8"/>
  <c r="C27" i="8"/>
  <c r="C40" i="8"/>
  <c r="C64" i="8"/>
  <c r="C66" i="8"/>
  <c r="C97" i="8"/>
  <c r="J25" i="8"/>
  <c r="K25" i="8"/>
  <c r="G25" i="8"/>
  <c r="J24" i="8"/>
  <c r="K24" i="8"/>
  <c r="G24" i="8"/>
  <c r="J23" i="8"/>
  <c r="K23" i="8"/>
  <c r="G23" i="8"/>
  <c r="J22" i="8"/>
  <c r="K22" i="8"/>
  <c r="G22" i="8"/>
  <c r="J21" i="8"/>
  <c r="K21" i="8"/>
  <c r="G21" i="8"/>
  <c r="J20" i="8"/>
  <c r="K20" i="8"/>
  <c r="G20" i="8"/>
  <c r="J19" i="8"/>
  <c r="K19" i="8"/>
  <c r="G19" i="8"/>
  <c r="J18" i="8"/>
  <c r="K18" i="8"/>
  <c r="G18" i="8"/>
  <c r="J17" i="8"/>
  <c r="K17" i="8"/>
  <c r="G17" i="8"/>
  <c r="J16" i="8"/>
  <c r="K16" i="8"/>
  <c r="G16" i="8"/>
  <c r="J15" i="8"/>
  <c r="K15" i="8"/>
  <c r="G15" i="8"/>
  <c r="J14" i="8"/>
  <c r="K14" i="8"/>
  <c r="G14" i="8"/>
  <c r="J13" i="8"/>
  <c r="K13" i="8"/>
  <c r="G13" i="8"/>
  <c r="J12" i="8"/>
  <c r="K12" i="8"/>
  <c r="G12" i="8"/>
  <c r="J11" i="8"/>
  <c r="K11" i="8"/>
  <c r="G11" i="8"/>
  <c r="J10" i="8"/>
  <c r="J1245" i="1"/>
  <c r="J1262" i="1"/>
  <c r="J1275" i="1"/>
  <c r="J1299" i="1"/>
  <c r="J1301" i="1"/>
  <c r="G10" i="8"/>
  <c r="L144" i="7"/>
  <c r="L146" i="7"/>
  <c r="K144" i="7"/>
  <c r="K146" i="7"/>
  <c r="I144" i="7"/>
  <c r="I146" i="7"/>
  <c r="G144" i="7"/>
  <c r="G146" i="7"/>
  <c r="F144" i="7"/>
  <c r="F146" i="7"/>
  <c r="E144" i="7"/>
  <c r="E146" i="7"/>
  <c r="D144" i="7"/>
  <c r="D146" i="7"/>
  <c r="C144" i="7"/>
  <c r="C146" i="7"/>
  <c r="J142" i="7"/>
  <c r="J141" i="7"/>
  <c r="J140" i="7"/>
  <c r="J139" i="7"/>
  <c r="J138" i="7"/>
  <c r="J137" i="7"/>
  <c r="J136" i="7"/>
  <c r="L130" i="7"/>
  <c r="L132" i="7"/>
  <c r="K130" i="7"/>
  <c r="K132" i="7"/>
  <c r="I130" i="7"/>
  <c r="I132" i="7"/>
  <c r="F130" i="7"/>
  <c r="F132" i="7"/>
  <c r="E130" i="7"/>
  <c r="E132" i="7"/>
  <c r="D130" i="7"/>
  <c r="D132" i="7"/>
  <c r="C130" i="7"/>
  <c r="C132" i="7"/>
  <c r="J128" i="7"/>
  <c r="G128" i="7"/>
  <c r="G126" i="7"/>
  <c r="J125" i="7"/>
  <c r="G125" i="7"/>
  <c r="J124" i="7"/>
  <c r="G124" i="7"/>
  <c r="J123" i="7"/>
  <c r="G123" i="7"/>
  <c r="J122" i="7"/>
  <c r="G122" i="7"/>
  <c r="J120" i="7"/>
  <c r="G120" i="7"/>
  <c r="G130" i="7"/>
  <c r="G132" i="7"/>
  <c r="D101" i="7"/>
  <c r="D103" i="7"/>
  <c r="D105" i="7"/>
  <c r="D112" i="7"/>
  <c r="L99" i="7"/>
  <c r="L101" i="7"/>
  <c r="L103" i="7"/>
  <c r="L105" i="7"/>
  <c r="L112" i="7"/>
  <c r="K99" i="7"/>
  <c r="K101" i="7"/>
  <c r="K103" i="7"/>
  <c r="K105" i="7"/>
  <c r="K112" i="7"/>
  <c r="I99" i="7"/>
  <c r="I101" i="7"/>
  <c r="I103" i="7"/>
  <c r="I105" i="7"/>
  <c r="I112" i="7"/>
  <c r="G99" i="7"/>
  <c r="G101" i="7"/>
  <c r="G103" i="7"/>
  <c r="G105" i="7"/>
  <c r="G112" i="7"/>
  <c r="F99" i="7"/>
  <c r="F101" i="7"/>
  <c r="F103" i="7"/>
  <c r="F105" i="7"/>
  <c r="F112" i="7"/>
  <c r="E99" i="7"/>
  <c r="E101" i="7"/>
  <c r="E103" i="7"/>
  <c r="E105" i="7"/>
  <c r="E112" i="7"/>
  <c r="D99" i="7"/>
  <c r="C99" i="7"/>
  <c r="C101" i="7"/>
  <c r="C103" i="7"/>
  <c r="C105" i="7"/>
  <c r="C112" i="7"/>
  <c r="J112" i="7"/>
  <c r="J98" i="7"/>
  <c r="J97" i="7"/>
  <c r="J96" i="7"/>
  <c r="L86" i="7"/>
  <c r="K86" i="7"/>
  <c r="I86" i="7"/>
  <c r="G86" i="7"/>
  <c r="F86" i="7"/>
  <c r="E86" i="7"/>
  <c r="D86" i="7"/>
  <c r="C86" i="7"/>
  <c r="J85" i="7"/>
  <c r="J84" i="7"/>
  <c r="J83" i="7"/>
  <c r="J82" i="7"/>
  <c r="J81" i="7"/>
  <c r="J80" i="7"/>
  <c r="I76" i="7"/>
  <c r="F76" i="7"/>
  <c r="E76" i="7"/>
  <c r="D76" i="7"/>
  <c r="C76" i="7"/>
  <c r="J74" i="7"/>
  <c r="K74" i="7"/>
  <c r="G74" i="7"/>
  <c r="J73" i="7"/>
  <c r="K73" i="7"/>
  <c r="G73" i="7"/>
  <c r="J72" i="7"/>
  <c r="G72" i="7"/>
  <c r="J71" i="7"/>
  <c r="G71" i="7"/>
  <c r="I65" i="7"/>
  <c r="I67" i="7"/>
  <c r="F65" i="7"/>
  <c r="F67" i="7"/>
  <c r="E65" i="7"/>
  <c r="E67" i="7"/>
  <c r="D65" i="7"/>
  <c r="D67" i="7"/>
  <c r="C65" i="7"/>
  <c r="C67" i="7"/>
  <c r="J63" i="7"/>
  <c r="K63" i="7"/>
  <c r="G63" i="7"/>
  <c r="J62" i="7"/>
  <c r="K62" i="7"/>
  <c r="G62" i="7"/>
  <c r="J61" i="7"/>
  <c r="K61" i="7"/>
  <c r="G61" i="7"/>
  <c r="J60" i="7"/>
  <c r="K60" i="7"/>
  <c r="G60" i="7"/>
  <c r="J59" i="7"/>
  <c r="K59" i="7"/>
  <c r="G59" i="7"/>
  <c r="J58" i="7"/>
  <c r="K58" i="7"/>
  <c r="G58" i="7"/>
  <c r="J57" i="7"/>
  <c r="K57" i="7"/>
  <c r="G57" i="7"/>
  <c r="J56" i="7"/>
  <c r="K56" i="7"/>
  <c r="G56" i="7"/>
  <c r="J55" i="7"/>
  <c r="K55" i="7"/>
  <c r="G55" i="7"/>
  <c r="J54" i="7"/>
  <c r="K54" i="7"/>
  <c r="G54" i="7"/>
  <c r="J53" i="7"/>
  <c r="K53" i="7"/>
  <c r="G53" i="7"/>
  <c r="J52" i="7"/>
  <c r="K52" i="7"/>
  <c r="G52" i="7"/>
  <c r="J51" i="7"/>
  <c r="K51" i="7"/>
  <c r="G51" i="7"/>
  <c r="J50" i="7"/>
  <c r="K50" i="7"/>
  <c r="G50" i="7"/>
  <c r="J49" i="7"/>
  <c r="K49" i="7"/>
  <c r="G49" i="7"/>
  <c r="J48" i="7"/>
  <c r="K48" i="7"/>
  <c r="G48" i="7"/>
  <c r="J47" i="7"/>
  <c r="G47" i="7"/>
  <c r="C41" i="7"/>
  <c r="J39" i="7"/>
  <c r="G39" i="7"/>
  <c r="J37" i="7"/>
  <c r="K37" i="7"/>
  <c r="G37" i="7"/>
  <c r="J36" i="7"/>
  <c r="K36" i="7"/>
  <c r="G36" i="7"/>
  <c r="J35" i="7"/>
  <c r="K35" i="7"/>
  <c r="G35" i="7"/>
  <c r="J34" i="7"/>
  <c r="K34" i="7"/>
  <c r="G34" i="7"/>
  <c r="J33" i="7"/>
  <c r="K33" i="7"/>
  <c r="G33" i="7"/>
  <c r="J32" i="7"/>
  <c r="G32" i="7"/>
  <c r="I28" i="7"/>
  <c r="I41" i="7"/>
  <c r="F28" i="7"/>
  <c r="F41" i="7"/>
  <c r="E28" i="7"/>
  <c r="E41" i="7"/>
  <c r="D28" i="7"/>
  <c r="D41" i="7"/>
  <c r="C28" i="7"/>
  <c r="J26" i="7"/>
  <c r="G26" i="7"/>
  <c r="J25" i="7"/>
  <c r="G25" i="7"/>
  <c r="J24" i="7"/>
  <c r="G24" i="7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J1102" i="1"/>
  <c r="G14" i="7"/>
  <c r="J13" i="7"/>
  <c r="J1101" i="1"/>
  <c r="G13" i="7"/>
  <c r="J12" i="7"/>
  <c r="G12" i="7"/>
  <c r="J11" i="7"/>
  <c r="G11" i="7"/>
  <c r="J10" i="7"/>
  <c r="G10" i="7"/>
  <c r="L164" i="11"/>
  <c r="L166" i="11"/>
  <c r="K164" i="11"/>
  <c r="K166" i="11"/>
  <c r="I164" i="11"/>
  <c r="I166" i="11"/>
  <c r="G164" i="11"/>
  <c r="G166" i="11"/>
  <c r="F164" i="11"/>
  <c r="F166" i="11"/>
  <c r="E164" i="11"/>
  <c r="E166" i="11"/>
  <c r="D164" i="11"/>
  <c r="D166" i="11"/>
  <c r="C164" i="11"/>
  <c r="C166" i="11"/>
  <c r="J162" i="11"/>
  <c r="J161" i="11"/>
  <c r="L155" i="11"/>
  <c r="L157" i="11"/>
  <c r="K155" i="11"/>
  <c r="K157" i="11"/>
  <c r="I155" i="11"/>
  <c r="I157" i="11"/>
  <c r="I168" i="11"/>
  <c r="G155" i="11"/>
  <c r="G157" i="11"/>
  <c r="F155" i="11"/>
  <c r="F157" i="11"/>
  <c r="E155" i="11"/>
  <c r="E157" i="11"/>
  <c r="D155" i="11"/>
  <c r="D157" i="11"/>
  <c r="C155" i="11"/>
  <c r="C157" i="11"/>
  <c r="J153" i="11"/>
  <c r="J152" i="11"/>
  <c r="L139" i="11"/>
  <c r="L141" i="11"/>
  <c r="K139" i="11"/>
  <c r="K141" i="11"/>
  <c r="I124" i="11"/>
  <c r="G124" i="11"/>
  <c r="F124" i="11"/>
  <c r="E124" i="11"/>
  <c r="D124" i="11"/>
  <c r="C124" i="11"/>
  <c r="J121" i="11"/>
  <c r="J120" i="11"/>
  <c r="J119" i="11"/>
  <c r="J118" i="11"/>
  <c r="J117" i="11"/>
  <c r="J116" i="11"/>
  <c r="J115" i="11"/>
  <c r="J114" i="11"/>
  <c r="J113" i="11"/>
  <c r="J112" i="11"/>
  <c r="L108" i="11"/>
  <c r="K108" i="11"/>
  <c r="I108" i="11"/>
  <c r="G108" i="11"/>
  <c r="F108" i="11"/>
  <c r="E108" i="11"/>
  <c r="D108" i="11"/>
  <c r="C108" i="11"/>
  <c r="J106" i="11"/>
  <c r="J108" i="11"/>
  <c r="L102" i="11"/>
  <c r="K102" i="11"/>
  <c r="I102" i="11"/>
  <c r="G102" i="11"/>
  <c r="F102" i="11"/>
  <c r="E102" i="11"/>
  <c r="D102" i="11"/>
  <c r="C102" i="11"/>
  <c r="J100" i="11"/>
  <c r="J102" i="11"/>
  <c r="L96" i="11"/>
  <c r="K96" i="11"/>
  <c r="I96" i="11"/>
  <c r="G96" i="11"/>
  <c r="F96" i="11"/>
  <c r="E96" i="11"/>
  <c r="D96" i="11"/>
  <c r="C96" i="11"/>
  <c r="J93" i="11"/>
  <c r="J96" i="11"/>
  <c r="L89" i="11"/>
  <c r="K89" i="11"/>
  <c r="I89" i="11"/>
  <c r="G89" i="11"/>
  <c r="F89" i="11"/>
  <c r="E89" i="11"/>
  <c r="D89" i="11"/>
  <c r="C89" i="11"/>
  <c r="J87" i="11"/>
  <c r="J89" i="11"/>
  <c r="I77" i="11"/>
  <c r="F77" i="11"/>
  <c r="E77" i="11"/>
  <c r="D77" i="11"/>
  <c r="C77" i="11"/>
  <c r="G75" i="11"/>
  <c r="G74" i="11"/>
  <c r="J73" i="11"/>
  <c r="G73" i="11"/>
  <c r="I67" i="11"/>
  <c r="I69" i="11"/>
  <c r="F67" i="11"/>
  <c r="F69" i="11"/>
  <c r="E67" i="11"/>
  <c r="E69" i="11"/>
  <c r="D67" i="11"/>
  <c r="D69" i="11"/>
  <c r="C67" i="11"/>
  <c r="C69" i="11"/>
  <c r="J65" i="11"/>
  <c r="G65" i="11"/>
  <c r="J64" i="11"/>
  <c r="G64" i="11"/>
  <c r="J63" i="11"/>
  <c r="G63" i="11"/>
  <c r="J62" i="11"/>
  <c r="G62" i="11"/>
  <c r="J61" i="11"/>
  <c r="G61" i="11"/>
  <c r="J60" i="11"/>
  <c r="G60" i="11"/>
  <c r="J59" i="11"/>
  <c r="G59" i="11"/>
  <c r="J58" i="11"/>
  <c r="G58" i="11"/>
  <c r="J57" i="11"/>
  <c r="G57" i="11"/>
  <c r="J56" i="11"/>
  <c r="G56" i="11"/>
  <c r="J55" i="11"/>
  <c r="G55" i="11"/>
  <c r="J54" i="11"/>
  <c r="G54" i="11"/>
  <c r="J53" i="11"/>
  <c r="G53" i="11"/>
  <c r="J52" i="11"/>
  <c r="G52" i="11"/>
  <c r="J51" i="11"/>
  <c r="G51" i="11"/>
  <c r="J50" i="11"/>
  <c r="G50" i="11"/>
  <c r="J49" i="11"/>
  <c r="G49" i="11"/>
  <c r="J48" i="11"/>
  <c r="J968" i="1"/>
  <c r="G48" i="11"/>
  <c r="J47" i="11"/>
  <c r="G47" i="11"/>
  <c r="J46" i="11"/>
  <c r="G46" i="11"/>
  <c r="J45" i="11"/>
  <c r="G45" i="11"/>
  <c r="I37" i="11"/>
  <c r="F37" i="11"/>
  <c r="E37" i="11"/>
  <c r="D37" i="11"/>
  <c r="C37" i="11"/>
  <c r="J35" i="11"/>
  <c r="J955" i="1"/>
  <c r="J957" i="1"/>
  <c r="G35" i="11"/>
  <c r="J34" i="11"/>
  <c r="G34" i="11"/>
  <c r="J33" i="11"/>
  <c r="G33" i="11"/>
  <c r="J32" i="11"/>
  <c r="G32" i="11"/>
  <c r="J31" i="11"/>
  <c r="G31" i="11"/>
  <c r="J30" i="11"/>
  <c r="G30" i="11"/>
  <c r="I26" i="11"/>
  <c r="F26" i="11"/>
  <c r="E26" i="11"/>
  <c r="E39" i="11"/>
  <c r="D26" i="11"/>
  <c r="C26" i="11"/>
  <c r="J24" i="11"/>
  <c r="G24" i="11"/>
  <c r="J23" i="11"/>
  <c r="G23" i="11"/>
  <c r="J22" i="11"/>
  <c r="G22" i="11"/>
  <c r="J21" i="11"/>
  <c r="J941" i="1"/>
  <c r="G21" i="11"/>
  <c r="J20" i="11"/>
  <c r="G20" i="11"/>
  <c r="J19" i="11"/>
  <c r="K19" i="11"/>
  <c r="L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J11" i="11"/>
  <c r="G11" i="11"/>
  <c r="J10" i="11"/>
  <c r="G10" i="11"/>
  <c r="L145" i="6"/>
  <c r="L147" i="6"/>
  <c r="K145" i="6"/>
  <c r="K147" i="6"/>
  <c r="I145" i="6"/>
  <c r="I147" i="6"/>
  <c r="G145" i="6"/>
  <c r="F145" i="6"/>
  <c r="E145" i="6"/>
  <c r="D145" i="6"/>
  <c r="C145" i="6"/>
  <c r="C147" i="6"/>
  <c r="J143" i="6"/>
  <c r="J145" i="6"/>
  <c r="J147" i="6"/>
  <c r="L126" i="6"/>
  <c r="K126" i="6"/>
  <c r="I126" i="6"/>
  <c r="G126" i="6"/>
  <c r="F126" i="6"/>
  <c r="E126" i="6"/>
  <c r="D126" i="6"/>
  <c r="C126" i="6"/>
  <c r="J124" i="6"/>
  <c r="J126" i="6"/>
  <c r="L118" i="6"/>
  <c r="K118" i="6"/>
  <c r="I118" i="6"/>
  <c r="G118" i="6"/>
  <c r="F118" i="6"/>
  <c r="E118" i="6"/>
  <c r="D118" i="6"/>
  <c r="C118" i="6"/>
  <c r="J116" i="6"/>
  <c r="J118" i="6"/>
  <c r="L112" i="6"/>
  <c r="K112" i="6"/>
  <c r="I112" i="6"/>
  <c r="G112" i="6"/>
  <c r="F112" i="6"/>
  <c r="E112" i="6"/>
  <c r="D112" i="6"/>
  <c r="C112" i="6"/>
  <c r="J110" i="6"/>
  <c r="J112" i="6"/>
  <c r="L106" i="6"/>
  <c r="K106" i="6"/>
  <c r="I106" i="6"/>
  <c r="G106" i="6"/>
  <c r="F106" i="6"/>
  <c r="E106" i="6"/>
  <c r="D106" i="6"/>
  <c r="C106" i="6"/>
  <c r="J104" i="6"/>
  <c r="J103" i="6"/>
  <c r="J102" i="6"/>
  <c r="I98" i="6"/>
  <c r="G98" i="6"/>
  <c r="F98" i="6"/>
  <c r="E98" i="6"/>
  <c r="D98" i="6"/>
  <c r="C98" i="6"/>
  <c r="J96" i="6"/>
  <c r="I86" i="6"/>
  <c r="F86" i="6"/>
  <c r="E86" i="6"/>
  <c r="D86" i="6"/>
  <c r="C86" i="6"/>
  <c r="J84" i="6"/>
  <c r="G84" i="6"/>
  <c r="L80" i="6"/>
  <c r="K80" i="6"/>
  <c r="I80" i="6"/>
  <c r="F80" i="6"/>
  <c r="E80" i="6"/>
  <c r="D80" i="6"/>
  <c r="C80" i="6"/>
  <c r="J79" i="6"/>
  <c r="J78" i="6"/>
  <c r="G78" i="6"/>
  <c r="J77" i="6"/>
  <c r="G77" i="6"/>
  <c r="J76" i="6"/>
  <c r="G76" i="6"/>
  <c r="F70" i="6"/>
  <c r="F72" i="6"/>
  <c r="E70" i="6"/>
  <c r="E72" i="6"/>
  <c r="D70" i="6"/>
  <c r="D72" i="6"/>
  <c r="C70" i="6"/>
  <c r="J68" i="6"/>
  <c r="G68" i="6"/>
  <c r="J67" i="6"/>
  <c r="G67" i="6"/>
  <c r="J66" i="6"/>
  <c r="G66" i="6"/>
  <c r="J65" i="6"/>
  <c r="J839" i="1"/>
  <c r="G65" i="6"/>
  <c r="J64" i="6"/>
  <c r="G64" i="6"/>
  <c r="J63" i="6"/>
  <c r="G63" i="6"/>
  <c r="G62" i="6"/>
  <c r="J61" i="6"/>
  <c r="J835" i="1"/>
  <c r="G61" i="6"/>
  <c r="J60" i="6"/>
  <c r="J834" i="1"/>
  <c r="G60" i="6"/>
  <c r="J59" i="6"/>
  <c r="J833" i="1"/>
  <c r="G59" i="6"/>
  <c r="J58" i="6"/>
  <c r="J832" i="1"/>
  <c r="G58" i="6"/>
  <c r="G57" i="6"/>
  <c r="G56" i="6"/>
  <c r="I72" i="6"/>
  <c r="J55" i="6"/>
  <c r="J829" i="1"/>
  <c r="G55" i="6"/>
  <c r="J54" i="6"/>
  <c r="J828" i="1"/>
  <c r="G54" i="6"/>
  <c r="J53" i="6"/>
  <c r="J827" i="1"/>
  <c r="G53" i="6"/>
  <c r="J52" i="6"/>
  <c r="J826" i="1"/>
  <c r="G52" i="6"/>
  <c r="J51" i="6"/>
  <c r="J825" i="1"/>
  <c r="G51" i="6"/>
  <c r="J50" i="6"/>
  <c r="J824" i="1"/>
  <c r="G50" i="6"/>
  <c r="J49" i="6"/>
  <c r="J823" i="1"/>
  <c r="G49" i="6"/>
  <c r="J48" i="6"/>
  <c r="J822" i="1"/>
  <c r="G48" i="6"/>
  <c r="J47" i="6"/>
  <c r="J821" i="1"/>
  <c r="G47" i="6"/>
  <c r="J46" i="6"/>
  <c r="J820" i="1"/>
  <c r="G46" i="6"/>
  <c r="J45" i="6"/>
  <c r="J819" i="1"/>
  <c r="G45" i="6"/>
  <c r="J44" i="6"/>
  <c r="I36" i="6"/>
  <c r="F36" i="6"/>
  <c r="E36" i="6"/>
  <c r="D36" i="6"/>
  <c r="C36" i="6"/>
  <c r="J34" i="6"/>
  <c r="J808" i="1"/>
  <c r="G34" i="6"/>
  <c r="J33" i="6"/>
  <c r="J807" i="1"/>
  <c r="G33" i="6"/>
  <c r="J32" i="6"/>
  <c r="J806" i="1"/>
  <c r="G32" i="6"/>
  <c r="J31" i="6"/>
  <c r="J805" i="1"/>
  <c r="G31" i="6"/>
  <c r="J30" i="6"/>
  <c r="J804" i="1"/>
  <c r="J810" i="1"/>
  <c r="G30" i="6"/>
  <c r="F26" i="6"/>
  <c r="E26" i="6"/>
  <c r="D26" i="6"/>
  <c r="C26" i="6"/>
  <c r="J24" i="6"/>
  <c r="K24" i="6"/>
  <c r="L24" i="6"/>
  <c r="G24" i="6"/>
  <c r="J23" i="6"/>
  <c r="K23" i="6"/>
  <c r="L23" i="6"/>
  <c r="G23" i="6"/>
  <c r="J22" i="6"/>
  <c r="K22" i="6"/>
  <c r="L22" i="6"/>
  <c r="G22" i="6"/>
  <c r="J21" i="6"/>
  <c r="J795" i="1"/>
  <c r="G21" i="6"/>
  <c r="J20" i="6"/>
  <c r="J794" i="1"/>
  <c r="G20" i="6"/>
  <c r="J19" i="6"/>
  <c r="K19" i="6"/>
  <c r="L19" i="6"/>
  <c r="G19" i="6"/>
  <c r="J18" i="6"/>
  <c r="J793" i="1"/>
  <c r="G18" i="6"/>
  <c r="J17" i="6"/>
  <c r="K17" i="6"/>
  <c r="L17" i="6"/>
  <c r="G17" i="6"/>
  <c r="J16" i="6"/>
  <c r="J791" i="1"/>
  <c r="G16" i="6"/>
  <c r="J15" i="6"/>
  <c r="J790" i="1"/>
  <c r="G15" i="6"/>
  <c r="J14" i="6"/>
  <c r="J789" i="1"/>
  <c r="G14" i="6"/>
  <c r="J13" i="6"/>
  <c r="J788" i="1"/>
  <c r="G13" i="6"/>
  <c r="J12" i="6"/>
  <c r="J787" i="1"/>
  <c r="G12" i="6"/>
  <c r="J11" i="6"/>
  <c r="J786" i="1"/>
  <c r="G11" i="6"/>
  <c r="J10" i="6"/>
  <c r="J785" i="1"/>
  <c r="G10" i="6"/>
  <c r="D63" i="5"/>
  <c r="L61" i="5"/>
  <c r="L63" i="5"/>
  <c r="K61" i="5"/>
  <c r="K63" i="5"/>
  <c r="I61" i="5"/>
  <c r="I63" i="5"/>
  <c r="G61" i="5"/>
  <c r="G63" i="5"/>
  <c r="F61" i="5"/>
  <c r="F63" i="5"/>
  <c r="E61" i="5"/>
  <c r="E63" i="5"/>
  <c r="D61" i="5"/>
  <c r="C61" i="5"/>
  <c r="C63" i="5"/>
  <c r="J59" i="5"/>
  <c r="J58" i="5"/>
  <c r="J57" i="5"/>
  <c r="J56" i="5"/>
  <c r="J55" i="5"/>
  <c r="J54" i="5"/>
  <c r="J53" i="5"/>
  <c r="J52" i="5"/>
  <c r="J51" i="5"/>
  <c r="L43" i="5"/>
  <c r="K43" i="5"/>
  <c r="I43" i="5"/>
  <c r="F43" i="5"/>
  <c r="E43" i="5"/>
  <c r="D43" i="5"/>
  <c r="C43" i="5"/>
  <c r="J41" i="5"/>
  <c r="G41" i="5"/>
  <c r="J40" i="5"/>
  <c r="G40" i="5"/>
  <c r="J39" i="5"/>
  <c r="J43" i="5"/>
  <c r="G39" i="5"/>
  <c r="G43" i="5"/>
  <c r="L35" i="5"/>
  <c r="K35" i="5"/>
  <c r="I35" i="5"/>
  <c r="G35" i="5"/>
  <c r="F35" i="5"/>
  <c r="E35" i="5"/>
  <c r="D35" i="5"/>
  <c r="C35" i="5"/>
  <c r="C45" i="5"/>
  <c r="J33" i="5"/>
  <c r="J32" i="5"/>
  <c r="J31" i="5"/>
  <c r="J30" i="5"/>
  <c r="J29" i="5"/>
  <c r="J28" i="5"/>
  <c r="J35" i="5"/>
  <c r="I24" i="5"/>
  <c r="F24" i="5"/>
  <c r="F45" i="5"/>
  <c r="E24" i="5"/>
  <c r="E45" i="5"/>
  <c r="E65" i="5"/>
  <c r="E68" i="5"/>
  <c r="E72" i="5"/>
  <c r="E75" i="5"/>
  <c r="E77" i="5"/>
  <c r="D24" i="5"/>
  <c r="D45" i="5"/>
  <c r="D65" i="5"/>
  <c r="D68" i="5"/>
  <c r="D72" i="5"/>
  <c r="D75" i="5"/>
  <c r="D77" i="5"/>
  <c r="C24" i="5"/>
  <c r="J22" i="5"/>
  <c r="J21" i="5"/>
  <c r="K21" i="5"/>
  <c r="L21" i="5"/>
  <c r="L24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K12" i="5"/>
  <c r="L12" i="5"/>
  <c r="G12" i="5"/>
  <c r="J11" i="5"/>
  <c r="G11" i="5"/>
  <c r="J10" i="5"/>
  <c r="G10" i="5"/>
  <c r="G24" i="5"/>
  <c r="G45" i="5"/>
  <c r="G65" i="5"/>
  <c r="G68" i="5"/>
  <c r="G72" i="5"/>
  <c r="G75" i="5"/>
  <c r="G77" i="5"/>
  <c r="D82" i="4"/>
  <c r="L80" i="4"/>
  <c r="L82" i="4"/>
  <c r="K80" i="4"/>
  <c r="K82" i="4"/>
  <c r="J80" i="4"/>
  <c r="J82" i="4"/>
  <c r="I80" i="4"/>
  <c r="I82" i="4"/>
  <c r="G80" i="4"/>
  <c r="G82" i="4"/>
  <c r="F80" i="4"/>
  <c r="F82" i="4"/>
  <c r="E80" i="4"/>
  <c r="E82" i="4"/>
  <c r="D80" i="4"/>
  <c r="C80" i="4"/>
  <c r="C82" i="4"/>
  <c r="J78" i="4"/>
  <c r="D59" i="4"/>
  <c r="L57" i="4"/>
  <c r="L59" i="4"/>
  <c r="K57" i="4"/>
  <c r="K59" i="4"/>
  <c r="I57" i="4"/>
  <c r="I59" i="4"/>
  <c r="F57" i="4"/>
  <c r="F59" i="4"/>
  <c r="E57" i="4"/>
  <c r="E59" i="4"/>
  <c r="D57" i="4"/>
  <c r="C57" i="4"/>
  <c r="C59" i="4"/>
  <c r="J55" i="4"/>
  <c r="G55" i="4"/>
  <c r="J54" i="4"/>
  <c r="G54" i="4"/>
  <c r="J53" i="4"/>
  <c r="G53" i="4"/>
  <c r="J51" i="4"/>
  <c r="G51" i="4"/>
  <c r="J50" i="4"/>
  <c r="G50" i="4"/>
  <c r="J49" i="4"/>
  <c r="G49" i="4"/>
  <c r="J48" i="4"/>
  <c r="G48" i="4"/>
  <c r="J47" i="4"/>
  <c r="G47" i="4"/>
  <c r="J46" i="4"/>
  <c r="G46" i="4"/>
  <c r="J45" i="4"/>
  <c r="G45" i="4"/>
  <c r="J44" i="4"/>
  <c r="G44" i="4"/>
  <c r="D38" i="4"/>
  <c r="L36" i="4"/>
  <c r="K36" i="4"/>
  <c r="I36" i="4"/>
  <c r="F36" i="4"/>
  <c r="E36" i="4"/>
  <c r="D36" i="4"/>
  <c r="C36" i="4"/>
  <c r="J34" i="4"/>
  <c r="G34" i="4"/>
  <c r="J33" i="4"/>
  <c r="G33" i="4"/>
  <c r="J32" i="4"/>
  <c r="G32" i="4"/>
  <c r="J31" i="4"/>
  <c r="G31" i="4"/>
  <c r="J30" i="4"/>
  <c r="G30" i="4"/>
  <c r="J29" i="4"/>
  <c r="G29" i="4"/>
  <c r="G36" i="4"/>
  <c r="L25" i="4"/>
  <c r="L38" i="4"/>
  <c r="L61" i="4"/>
  <c r="L63" i="4"/>
  <c r="L69" i="4"/>
  <c r="L72" i="4"/>
  <c r="L74" i="4"/>
  <c r="K25" i="4"/>
  <c r="K38" i="4"/>
  <c r="K61" i="4"/>
  <c r="K63" i="4"/>
  <c r="K69" i="4"/>
  <c r="K72" i="4"/>
  <c r="K74" i="4"/>
  <c r="I25" i="4"/>
  <c r="F25" i="4"/>
  <c r="F38" i="4"/>
  <c r="F61" i="4"/>
  <c r="F63" i="4"/>
  <c r="F69" i="4"/>
  <c r="F72" i="4"/>
  <c r="F74" i="4"/>
  <c r="E25" i="4"/>
  <c r="E38" i="4"/>
  <c r="D25" i="4"/>
  <c r="C25" i="4"/>
  <c r="C38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G25" i="4"/>
  <c r="G38" i="4"/>
  <c r="L118" i="3"/>
  <c r="L120" i="3"/>
  <c r="K118" i="3"/>
  <c r="K120" i="3"/>
  <c r="I118" i="3"/>
  <c r="I120" i="3"/>
  <c r="G118" i="3"/>
  <c r="G120" i="3"/>
  <c r="F118" i="3"/>
  <c r="F120" i="3"/>
  <c r="E118" i="3"/>
  <c r="E120" i="3"/>
  <c r="D118" i="3"/>
  <c r="D120" i="3"/>
  <c r="C118" i="3"/>
  <c r="C120" i="3"/>
  <c r="J112" i="3"/>
  <c r="J118" i="3"/>
  <c r="J120" i="3"/>
  <c r="L108" i="3"/>
  <c r="L106" i="3"/>
  <c r="K106" i="3"/>
  <c r="K108" i="3"/>
  <c r="L96" i="3"/>
  <c r="L98" i="3"/>
  <c r="L100" i="3"/>
  <c r="L94" i="3"/>
  <c r="K94" i="3"/>
  <c r="I94" i="3"/>
  <c r="G94" i="3"/>
  <c r="F94" i="3"/>
  <c r="E94" i="3"/>
  <c r="D94" i="3"/>
  <c r="J92" i="3"/>
  <c r="J91" i="3"/>
  <c r="J90" i="3"/>
  <c r="J89" i="3"/>
  <c r="J88" i="3"/>
  <c r="J87" i="3"/>
  <c r="J86" i="3"/>
  <c r="L83" i="3"/>
  <c r="K83" i="3"/>
  <c r="I83" i="3"/>
  <c r="G83" i="3"/>
  <c r="F83" i="3"/>
  <c r="E83" i="3"/>
  <c r="D83" i="3"/>
  <c r="C83" i="3"/>
  <c r="J81" i="3"/>
  <c r="J83" i="3"/>
  <c r="L77" i="3"/>
  <c r="K77" i="3"/>
  <c r="K96" i="3"/>
  <c r="K98" i="3"/>
  <c r="K100" i="3"/>
  <c r="I77" i="3"/>
  <c r="G77" i="3"/>
  <c r="G96" i="3"/>
  <c r="G98" i="3"/>
  <c r="G100" i="3"/>
  <c r="G104" i="3"/>
  <c r="F77" i="3"/>
  <c r="F96" i="3"/>
  <c r="F98" i="3"/>
  <c r="F100" i="3"/>
  <c r="F104" i="3"/>
  <c r="E77" i="3"/>
  <c r="E96" i="3"/>
  <c r="E98" i="3"/>
  <c r="E100" i="3"/>
  <c r="E104" i="3"/>
  <c r="D77" i="3"/>
  <c r="C77" i="3"/>
  <c r="C96" i="3"/>
  <c r="C98" i="3"/>
  <c r="C100" i="3"/>
  <c r="C104" i="3"/>
  <c r="J74" i="3"/>
  <c r="J77" i="3"/>
  <c r="I62" i="3"/>
  <c r="I64" i="3"/>
  <c r="F62" i="3"/>
  <c r="F64" i="3"/>
  <c r="E62" i="3"/>
  <c r="E64" i="3"/>
  <c r="D62" i="3"/>
  <c r="D64" i="3"/>
  <c r="C62" i="3"/>
  <c r="C64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J43" i="3"/>
  <c r="G43" i="3"/>
  <c r="I35" i="3"/>
  <c r="F35" i="3"/>
  <c r="E35" i="3"/>
  <c r="D35" i="3"/>
  <c r="C35" i="3"/>
  <c r="J33" i="3"/>
  <c r="G33" i="3"/>
  <c r="J32" i="3"/>
  <c r="G32" i="3"/>
  <c r="J31" i="3"/>
  <c r="G31" i="3"/>
  <c r="J30" i="3"/>
  <c r="G30" i="3"/>
  <c r="J29" i="3"/>
  <c r="G29" i="3"/>
  <c r="I25" i="3"/>
  <c r="F25" i="3"/>
  <c r="F37" i="3"/>
  <c r="E25" i="3"/>
  <c r="E37" i="3"/>
  <c r="D25" i="3"/>
  <c r="C25" i="3"/>
  <c r="C37" i="3"/>
  <c r="J23" i="3"/>
  <c r="K23" i="3"/>
  <c r="L23" i="3"/>
  <c r="G23" i="3"/>
  <c r="J22" i="3"/>
  <c r="K22" i="3"/>
  <c r="L22" i="3"/>
  <c r="G22" i="3"/>
  <c r="J21" i="3"/>
  <c r="K21" i="3"/>
  <c r="L21" i="3"/>
  <c r="G21" i="3"/>
  <c r="J20" i="3"/>
  <c r="G20" i="3"/>
  <c r="J19" i="3"/>
  <c r="J522" i="1"/>
  <c r="G19" i="3"/>
  <c r="J18" i="3"/>
  <c r="K18" i="3"/>
  <c r="L18" i="3"/>
  <c r="G18" i="3"/>
  <c r="J17" i="3"/>
  <c r="G17" i="3"/>
  <c r="J16" i="3"/>
  <c r="K16" i="3"/>
  <c r="L16" i="3"/>
  <c r="G16" i="3"/>
  <c r="J15" i="3"/>
  <c r="K15" i="3"/>
  <c r="L15" i="3"/>
  <c r="G15" i="3"/>
  <c r="J14" i="3"/>
  <c r="G14" i="3"/>
  <c r="J13" i="3"/>
  <c r="G13" i="3"/>
  <c r="J12" i="3"/>
  <c r="J517" i="1"/>
  <c r="G12" i="3"/>
  <c r="J11" i="3"/>
  <c r="G11" i="3"/>
  <c r="L151" i="2"/>
  <c r="K151" i="2"/>
  <c r="I151" i="2"/>
  <c r="F151" i="2"/>
  <c r="E151" i="2"/>
  <c r="D151" i="2"/>
  <c r="C151" i="2"/>
  <c r="J149" i="2"/>
  <c r="J151" i="2"/>
  <c r="G149" i="2"/>
  <c r="G151" i="2"/>
  <c r="I143" i="2"/>
  <c r="I145" i="2"/>
  <c r="F143" i="2"/>
  <c r="F145" i="2"/>
  <c r="E143" i="2"/>
  <c r="E145" i="2"/>
  <c r="D143" i="2"/>
  <c r="D145" i="2"/>
  <c r="C143" i="2"/>
  <c r="C145" i="2"/>
  <c r="G141" i="2"/>
  <c r="J135" i="2"/>
  <c r="L135" i="2"/>
  <c r="L143" i="2"/>
  <c r="L145" i="2"/>
  <c r="G135" i="2"/>
  <c r="I117" i="2"/>
  <c r="I119" i="2"/>
  <c r="I121" i="2"/>
  <c r="I123" i="2"/>
  <c r="I127" i="2"/>
  <c r="G117" i="2"/>
  <c r="G119" i="2"/>
  <c r="G121" i="2"/>
  <c r="G123" i="2"/>
  <c r="G127" i="2"/>
  <c r="F117" i="2"/>
  <c r="F119" i="2"/>
  <c r="F121" i="2"/>
  <c r="F123" i="2"/>
  <c r="F127" i="2"/>
  <c r="E117" i="2"/>
  <c r="E119" i="2"/>
  <c r="E121" i="2"/>
  <c r="E123" i="2"/>
  <c r="E127" i="2"/>
  <c r="D117" i="2"/>
  <c r="D119" i="2"/>
  <c r="D121" i="2"/>
  <c r="D123" i="2"/>
  <c r="D127" i="2"/>
  <c r="C117" i="2"/>
  <c r="C119" i="2"/>
  <c r="C121" i="2"/>
  <c r="C123" i="2"/>
  <c r="C127" i="2"/>
  <c r="J115" i="2"/>
  <c r="K115" i="2"/>
  <c r="L115" i="2"/>
  <c r="J114" i="2"/>
  <c r="J113" i="2"/>
  <c r="K113" i="2"/>
  <c r="L113" i="2"/>
  <c r="J112" i="2"/>
  <c r="J111" i="2"/>
  <c r="I101" i="2"/>
  <c r="F101" i="2"/>
  <c r="E101" i="2"/>
  <c r="D101" i="2"/>
  <c r="C101" i="2"/>
  <c r="J99" i="2"/>
  <c r="G99" i="2"/>
  <c r="J98" i="2"/>
  <c r="G98" i="2"/>
  <c r="J97" i="2"/>
  <c r="K97" i="2"/>
  <c r="L97" i="2"/>
  <c r="G97" i="2"/>
  <c r="J96" i="2"/>
  <c r="K96" i="2"/>
  <c r="L96" i="2"/>
  <c r="G96" i="2"/>
  <c r="J95" i="2"/>
  <c r="J451" i="1"/>
  <c r="G95" i="2"/>
  <c r="J94" i="2"/>
  <c r="G94" i="2"/>
  <c r="J93" i="2"/>
  <c r="K93" i="2"/>
  <c r="L93" i="2"/>
  <c r="G93" i="2"/>
  <c r="J92" i="2"/>
  <c r="K92" i="2"/>
  <c r="L92" i="2"/>
  <c r="G92" i="2"/>
  <c r="J91" i="2"/>
  <c r="J449" i="1"/>
  <c r="J455" i="1"/>
  <c r="G91" i="2"/>
  <c r="I86" i="2"/>
  <c r="F86" i="2"/>
  <c r="E86" i="2"/>
  <c r="D86" i="2"/>
  <c r="C86" i="2"/>
  <c r="J84" i="2"/>
  <c r="G84" i="2"/>
  <c r="G86" i="2"/>
  <c r="I81" i="2"/>
  <c r="E81" i="2"/>
  <c r="E88" i="2"/>
  <c r="D81" i="2"/>
  <c r="D88" i="2"/>
  <c r="C81" i="2"/>
  <c r="C88" i="2"/>
  <c r="J79" i="2"/>
  <c r="K79" i="2"/>
  <c r="L79" i="2"/>
  <c r="H79" i="2"/>
  <c r="G79" i="2"/>
  <c r="J78" i="2"/>
  <c r="K78" i="2"/>
  <c r="L78" i="2"/>
  <c r="H78" i="2"/>
  <c r="G78" i="2"/>
  <c r="J77" i="2"/>
  <c r="K77" i="2"/>
  <c r="L77" i="2"/>
  <c r="H77" i="2"/>
  <c r="G77" i="2"/>
  <c r="J75" i="2"/>
  <c r="H75" i="2"/>
  <c r="G75" i="2"/>
  <c r="J74" i="2"/>
  <c r="K74" i="2"/>
  <c r="L74" i="2"/>
  <c r="H74" i="2"/>
  <c r="G74" i="2"/>
  <c r="J73" i="2"/>
  <c r="H73" i="2"/>
  <c r="G73" i="2"/>
  <c r="J72" i="2"/>
  <c r="H72" i="2"/>
  <c r="G72" i="2"/>
  <c r="J71" i="2"/>
  <c r="H71" i="2"/>
  <c r="G71" i="2"/>
  <c r="J70" i="2"/>
  <c r="H70" i="2"/>
  <c r="G70" i="2"/>
  <c r="J69" i="2"/>
  <c r="H69" i="2"/>
  <c r="G69" i="2"/>
  <c r="J68" i="2"/>
  <c r="H68" i="2"/>
  <c r="G68" i="2"/>
  <c r="J67" i="2"/>
  <c r="H67" i="2"/>
  <c r="G67" i="2"/>
  <c r="J66" i="2"/>
  <c r="H66" i="2"/>
  <c r="G66" i="2"/>
  <c r="J65" i="2"/>
  <c r="H65" i="2"/>
  <c r="G65" i="2"/>
  <c r="J63" i="2"/>
  <c r="H63" i="2"/>
  <c r="G63" i="2"/>
  <c r="J62" i="2"/>
  <c r="H62" i="2"/>
  <c r="G62" i="2"/>
  <c r="J61" i="2"/>
  <c r="J418" i="1"/>
  <c r="H61" i="2"/>
  <c r="G61" i="2"/>
  <c r="J60" i="2"/>
  <c r="H60" i="2"/>
  <c r="G60" i="2"/>
  <c r="J59" i="2"/>
  <c r="J416" i="1"/>
  <c r="H59" i="2"/>
  <c r="G59" i="2"/>
  <c r="J58" i="2"/>
  <c r="H58" i="2"/>
  <c r="G58" i="2"/>
  <c r="J57" i="2"/>
  <c r="H57" i="2"/>
  <c r="G57" i="2"/>
  <c r="J56" i="2"/>
  <c r="H56" i="2"/>
  <c r="G56" i="2"/>
  <c r="J55" i="2"/>
  <c r="H55" i="2"/>
  <c r="G55" i="2"/>
  <c r="J54" i="2"/>
  <c r="J411" i="1"/>
  <c r="H54" i="2"/>
  <c r="G54" i="2"/>
  <c r="J53" i="2"/>
  <c r="H53" i="2"/>
  <c r="G53" i="2"/>
  <c r="J52" i="2"/>
  <c r="J409" i="1"/>
  <c r="H52" i="2"/>
  <c r="G52" i="2"/>
  <c r="J51" i="2"/>
  <c r="J408" i="1"/>
  <c r="H51" i="2"/>
  <c r="G51" i="2"/>
  <c r="J50" i="2"/>
  <c r="H50" i="2"/>
  <c r="G50" i="2"/>
  <c r="J49" i="2"/>
  <c r="H49" i="2"/>
  <c r="G49" i="2"/>
  <c r="J48" i="2"/>
  <c r="H48" i="2"/>
  <c r="G48" i="2"/>
  <c r="J47" i="2"/>
  <c r="F47" i="2"/>
  <c r="F81" i="2"/>
  <c r="F88" i="2"/>
  <c r="G40" i="2"/>
  <c r="I39" i="2"/>
  <c r="E39" i="2"/>
  <c r="D39" i="2"/>
  <c r="C39" i="2"/>
  <c r="G38" i="2"/>
  <c r="J37" i="2"/>
  <c r="J394" i="1"/>
  <c r="G37" i="2"/>
  <c r="J36" i="2"/>
  <c r="K36" i="2"/>
  <c r="L36" i="2"/>
  <c r="G36" i="2"/>
  <c r="J35" i="2"/>
  <c r="G35" i="2"/>
  <c r="J34" i="2"/>
  <c r="G34" i="2"/>
  <c r="J33" i="2"/>
  <c r="G33" i="2"/>
  <c r="J32" i="2"/>
  <c r="H32" i="2"/>
  <c r="F32" i="2"/>
  <c r="F39" i="2"/>
  <c r="I27" i="2"/>
  <c r="E27" i="2"/>
  <c r="E41" i="2"/>
  <c r="E103" i="2"/>
  <c r="E105" i="2"/>
  <c r="E126" i="2"/>
  <c r="E129" i="2"/>
  <c r="E131" i="2"/>
  <c r="D27" i="2"/>
  <c r="D41" i="2"/>
  <c r="D103" i="2"/>
  <c r="D105" i="2"/>
  <c r="D126" i="2"/>
  <c r="D129" i="2"/>
  <c r="D131" i="2"/>
  <c r="C27" i="2"/>
  <c r="J25" i="2"/>
  <c r="K25" i="2"/>
  <c r="L25" i="2"/>
  <c r="G25" i="2"/>
  <c r="J24" i="2"/>
  <c r="K24" i="2"/>
  <c r="L24" i="2"/>
  <c r="G24" i="2"/>
  <c r="J23" i="2"/>
  <c r="K23" i="2"/>
  <c r="L23" i="2"/>
  <c r="G23" i="2"/>
  <c r="J22" i="2"/>
  <c r="K22" i="2"/>
  <c r="L22" i="2"/>
  <c r="G22" i="2"/>
  <c r="J21" i="2"/>
  <c r="K21" i="2"/>
  <c r="L21" i="2"/>
  <c r="G21" i="2"/>
  <c r="J20" i="2"/>
  <c r="K20" i="2"/>
  <c r="L20" i="2"/>
  <c r="G20" i="2"/>
  <c r="J19" i="2"/>
  <c r="G19" i="2"/>
  <c r="J18" i="2"/>
  <c r="G18" i="2"/>
  <c r="J17" i="2"/>
  <c r="G17" i="2"/>
  <c r="J16" i="2"/>
  <c r="G16" i="2"/>
  <c r="J15" i="2"/>
  <c r="K15" i="2"/>
  <c r="L15" i="2"/>
  <c r="G15" i="2"/>
  <c r="J14" i="2"/>
  <c r="G14" i="2"/>
  <c r="J13" i="2"/>
  <c r="G13" i="2"/>
  <c r="J12" i="2"/>
  <c r="J373" i="1"/>
  <c r="F12" i="2"/>
  <c r="G12" i="2"/>
  <c r="J11" i="2"/>
  <c r="K11" i="2"/>
  <c r="L11" i="2"/>
  <c r="F11" i="2"/>
  <c r="G11" i="2"/>
  <c r="J527" i="1"/>
  <c r="J539" i="1"/>
  <c r="J568" i="1"/>
  <c r="J570" i="1"/>
  <c r="J603" i="1"/>
  <c r="J606" i="1"/>
  <c r="J608" i="1"/>
  <c r="J86" i="6"/>
  <c r="J858" i="1"/>
  <c r="J860" i="1"/>
  <c r="K84" i="6"/>
  <c r="J438" i="1"/>
  <c r="J282" i="1"/>
  <c r="J1057" i="1"/>
  <c r="L14" i="9"/>
  <c r="L1366" i="1"/>
  <c r="K1366" i="1"/>
  <c r="K27" i="9"/>
  <c r="K40" i="9"/>
  <c r="K1365" i="1"/>
  <c r="L13" i="9"/>
  <c r="J1116" i="1"/>
  <c r="J1129" i="1"/>
  <c r="J1176" i="1"/>
  <c r="J1178" i="1"/>
  <c r="D10" i="16"/>
  <c r="J800" i="1"/>
  <c r="J812" i="1"/>
  <c r="D5" i="16"/>
  <c r="J1332" i="1"/>
  <c r="J1335" i="1"/>
  <c r="J1337" i="1"/>
  <c r="D11" i="16"/>
  <c r="J837" i="1"/>
  <c r="K63" i="6"/>
  <c r="J841" i="1"/>
  <c r="K67" i="6"/>
  <c r="J838" i="1"/>
  <c r="K64" i="6"/>
  <c r="J840" i="1"/>
  <c r="K66" i="6"/>
  <c r="J842" i="1"/>
  <c r="K68" i="6"/>
  <c r="J164" i="1"/>
  <c r="J987" i="1"/>
  <c r="J989" i="1"/>
  <c r="J946" i="1"/>
  <c r="J959" i="1"/>
  <c r="J271" i="1"/>
  <c r="J286" i="1"/>
  <c r="J288" i="1"/>
  <c r="J290" i="1"/>
  <c r="J292" i="1"/>
  <c r="J298" i="1"/>
  <c r="J480" i="1"/>
  <c r="I88" i="2"/>
  <c r="J86" i="2"/>
  <c r="J442" i="1"/>
  <c r="K84" i="2"/>
  <c r="I41" i="2"/>
  <c r="J396" i="1"/>
  <c r="J38" i="1"/>
  <c r="J28" i="1"/>
  <c r="J386" i="1"/>
  <c r="K168" i="11"/>
  <c r="G114" i="8"/>
  <c r="G116" i="8"/>
  <c r="L168" i="11"/>
  <c r="D40" i="8"/>
  <c r="F40" i="8"/>
  <c r="F64" i="8"/>
  <c r="F66" i="8"/>
  <c r="F97" i="8"/>
  <c r="F100" i="8"/>
  <c r="F102" i="8"/>
  <c r="C87" i="8"/>
  <c r="C89" i="8"/>
  <c r="C91" i="8"/>
  <c r="C98" i="8"/>
  <c r="J98" i="8"/>
  <c r="G87" i="8"/>
  <c r="G89" i="8"/>
  <c r="G91" i="8"/>
  <c r="G98" i="8"/>
  <c r="E87" i="8"/>
  <c r="E89" i="8"/>
  <c r="E91" i="8"/>
  <c r="E98" i="8"/>
  <c r="E100" i="8"/>
  <c r="E102" i="8"/>
  <c r="C88" i="7"/>
  <c r="C90" i="7"/>
  <c r="C111" i="7"/>
  <c r="G28" i="7"/>
  <c r="E88" i="7"/>
  <c r="E90" i="7"/>
  <c r="E111" i="7"/>
  <c r="E114" i="7"/>
  <c r="E116" i="7"/>
  <c r="G65" i="7"/>
  <c r="G67" i="7"/>
  <c r="K12" i="7"/>
  <c r="K18" i="7"/>
  <c r="K24" i="7"/>
  <c r="G41" i="7"/>
  <c r="K32" i="7"/>
  <c r="L34" i="7"/>
  <c r="L1122" i="1"/>
  <c r="K1122" i="1"/>
  <c r="L36" i="7"/>
  <c r="L1124" i="1"/>
  <c r="K1124" i="1"/>
  <c r="K47" i="7"/>
  <c r="L49" i="7"/>
  <c r="L1137" i="1"/>
  <c r="K1137" i="1"/>
  <c r="K1139" i="1"/>
  <c r="L51" i="7"/>
  <c r="L1139" i="1"/>
  <c r="L53" i="7"/>
  <c r="L1141" i="1"/>
  <c r="L103" i="1"/>
  <c r="K1141" i="1"/>
  <c r="K103" i="1"/>
  <c r="K1143" i="1"/>
  <c r="L55" i="7"/>
  <c r="L1143" i="1"/>
  <c r="L57" i="7"/>
  <c r="L1145" i="1"/>
  <c r="K1145" i="1"/>
  <c r="K1147" i="1"/>
  <c r="L59" i="7"/>
  <c r="L1147" i="1"/>
  <c r="L61" i="7"/>
  <c r="L1149" i="1"/>
  <c r="K1149" i="1"/>
  <c r="K1151" i="1"/>
  <c r="L63" i="7"/>
  <c r="L1151" i="1"/>
  <c r="K10" i="7"/>
  <c r="K16" i="7"/>
  <c r="K22" i="7"/>
  <c r="L73" i="7"/>
  <c r="K1161" i="1"/>
  <c r="K183" i="1"/>
  <c r="K76" i="7"/>
  <c r="K11" i="7"/>
  <c r="K13" i="7"/>
  <c r="K15" i="7"/>
  <c r="K17" i="7"/>
  <c r="K21" i="7"/>
  <c r="K23" i="7"/>
  <c r="K25" i="7"/>
  <c r="L74" i="7"/>
  <c r="L1162" i="1"/>
  <c r="L186" i="1"/>
  <c r="K1162" i="1"/>
  <c r="K186" i="1"/>
  <c r="K14" i="7"/>
  <c r="K20" i="7"/>
  <c r="K26" i="7"/>
  <c r="L33" i="7"/>
  <c r="L1121" i="1"/>
  <c r="K1121" i="1"/>
  <c r="L35" i="7"/>
  <c r="L1123" i="1"/>
  <c r="K1123" i="1"/>
  <c r="L37" i="7"/>
  <c r="L1125" i="1"/>
  <c r="K1125" i="1"/>
  <c r="L48" i="7"/>
  <c r="L1136" i="1"/>
  <c r="K1136" i="1"/>
  <c r="L50" i="7"/>
  <c r="L1138" i="1"/>
  <c r="K1138" i="1"/>
  <c r="L52" i="7"/>
  <c r="L1140" i="1"/>
  <c r="K1140" i="1"/>
  <c r="K1142" i="1"/>
  <c r="L54" i="7"/>
  <c r="L1142" i="1"/>
  <c r="L56" i="7"/>
  <c r="L1144" i="1"/>
  <c r="L115" i="1"/>
  <c r="K1144" i="1"/>
  <c r="K115" i="1"/>
  <c r="K1146" i="1"/>
  <c r="L58" i="7"/>
  <c r="L1146" i="1"/>
  <c r="L60" i="7"/>
  <c r="L1148" i="1"/>
  <c r="K1148" i="1"/>
  <c r="L62" i="7"/>
  <c r="L1150" i="1"/>
  <c r="K1150" i="1"/>
  <c r="G76" i="7"/>
  <c r="K24" i="5"/>
  <c r="K45" i="5"/>
  <c r="K65" i="5"/>
  <c r="K68" i="5"/>
  <c r="K72" i="5"/>
  <c r="K75" i="5"/>
  <c r="K77" i="5"/>
  <c r="L45" i="5"/>
  <c r="G25" i="3"/>
  <c r="K33" i="3"/>
  <c r="K13" i="3"/>
  <c r="K17" i="3"/>
  <c r="K19" i="3"/>
  <c r="K29" i="3"/>
  <c r="K30" i="3"/>
  <c r="K32" i="3"/>
  <c r="K31" i="3"/>
  <c r="K12" i="3"/>
  <c r="K14" i="3"/>
  <c r="K43" i="3"/>
  <c r="G86" i="6"/>
  <c r="G858" i="1"/>
  <c r="K114" i="2"/>
  <c r="K75" i="2"/>
  <c r="K91" i="2"/>
  <c r="K99" i="2"/>
  <c r="K112" i="2"/>
  <c r="G143" i="2"/>
  <c r="G145" i="2"/>
  <c r="K94" i="2"/>
  <c r="K98" i="2"/>
  <c r="K143" i="2"/>
  <c r="K145" i="2"/>
  <c r="J39" i="2"/>
  <c r="K32" i="2"/>
  <c r="K68" i="2"/>
  <c r="K17" i="2"/>
  <c r="K50" i="2"/>
  <c r="K54" i="2"/>
  <c r="K58" i="2"/>
  <c r="K62" i="2"/>
  <c r="K67" i="2"/>
  <c r="K71" i="2"/>
  <c r="K59" i="2"/>
  <c r="K13" i="2"/>
  <c r="K19" i="2"/>
  <c r="K33" i="2"/>
  <c r="K35" i="2"/>
  <c r="K37" i="2"/>
  <c r="K49" i="2"/>
  <c r="K53" i="2"/>
  <c r="K57" i="2"/>
  <c r="K61" i="2"/>
  <c r="K66" i="2"/>
  <c r="K70" i="2"/>
  <c r="K34" i="2"/>
  <c r="K47" i="2"/>
  <c r="K51" i="2"/>
  <c r="K55" i="2"/>
  <c r="K63" i="2"/>
  <c r="K72" i="2"/>
  <c r="K12" i="2"/>
  <c r="K14" i="2"/>
  <c r="K16" i="2"/>
  <c r="K18" i="2"/>
  <c r="K48" i="2"/>
  <c r="K52" i="2"/>
  <c r="K56" i="2"/>
  <c r="K60" i="2"/>
  <c r="K65" i="2"/>
  <c r="K69" i="2"/>
  <c r="F27" i="2"/>
  <c r="F41" i="2"/>
  <c r="G101" i="2"/>
  <c r="I37" i="3"/>
  <c r="J25" i="3"/>
  <c r="K11" i="3"/>
  <c r="K516" i="1"/>
  <c r="L58" i="8"/>
  <c r="L1293" i="1"/>
  <c r="L184" i="1"/>
  <c r="K1293" i="1"/>
  <c r="K184" i="1"/>
  <c r="L60" i="8"/>
  <c r="L1295" i="1"/>
  <c r="L188" i="1"/>
  <c r="K1295" i="1"/>
  <c r="K188" i="1"/>
  <c r="K72" i="8"/>
  <c r="L81" i="8"/>
  <c r="L1316" i="1"/>
  <c r="L272" i="1"/>
  <c r="K1316" i="1"/>
  <c r="K272" i="1"/>
  <c r="J114" i="8"/>
  <c r="J116" i="8"/>
  <c r="L80" i="8"/>
  <c r="L1315" i="1"/>
  <c r="L269" i="1"/>
  <c r="K1315" i="1"/>
  <c r="K269" i="1"/>
  <c r="G62" i="8"/>
  <c r="L73" i="8"/>
  <c r="L1308" i="1"/>
  <c r="L221" i="1"/>
  <c r="K1308" i="1"/>
  <c r="K221" i="1"/>
  <c r="L82" i="8"/>
  <c r="L1317" i="1"/>
  <c r="L274" i="1"/>
  <c r="K1317" i="1"/>
  <c r="K274" i="1"/>
  <c r="K57" i="8"/>
  <c r="L59" i="8"/>
  <c r="L1294" i="1"/>
  <c r="L185" i="1"/>
  <c r="K1294" i="1"/>
  <c r="K185" i="1"/>
  <c r="K79" i="8"/>
  <c r="K10" i="8"/>
  <c r="L16" i="8"/>
  <c r="L1251" i="1"/>
  <c r="K1251" i="1"/>
  <c r="K1255" i="1"/>
  <c r="L20" i="8"/>
  <c r="L1255" i="1"/>
  <c r="L22" i="8"/>
  <c r="L1257" i="1"/>
  <c r="K1257" i="1"/>
  <c r="L32" i="8"/>
  <c r="L1267" i="1"/>
  <c r="K1267" i="1"/>
  <c r="L34" i="8"/>
  <c r="L1269" i="1"/>
  <c r="K1269" i="1"/>
  <c r="L36" i="8"/>
  <c r="L1271" i="1"/>
  <c r="K1271" i="1"/>
  <c r="K1246" i="1"/>
  <c r="L11" i="8"/>
  <c r="L1246" i="1"/>
  <c r="L13" i="8"/>
  <c r="L1248" i="1"/>
  <c r="K1248" i="1"/>
  <c r="K1250" i="1"/>
  <c r="L15" i="8"/>
  <c r="L1250" i="1"/>
  <c r="L17" i="8"/>
  <c r="L1252" i="1"/>
  <c r="K1252" i="1"/>
  <c r="K1254" i="1"/>
  <c r="L19" i="8"/>
  <c r="L1254" i="1"/>
  <c r="L21" i="8"/>
  <c r="L1256" i="1"/>
  <c r="K1256" i="1"/>
  <c r="K1258" i="1"/>
  <c r="L23" i="8"/>
  <c r="L1258" i="1"/>
  <c r="L25" i="8"/>
  <c r="L1260" i="1"/>
  <c r="K1260" i="1"/>
  <c r="G38" i="8"/>
  <c r="K1247" i="1"/>
  <c r="L12" i="8"/>
  <c r="L1247" i="1"/>
  <c r="K1249" i="1"/>
  <c r="L14" i="8"/>
  <c r="L1249" i="1"/>
  <c r="L18" i="8"/>
  <c r="L1253" i="1"/>
  <c r="K1253" i="1"/>
  <c r="L24" i="8"/>
  <c r="L1259" i="1"/>
  <c r="K1259" i="1"/>
  <c r="G27" i="8"/>
  <c r="G40" i="8"/>
  <c r="K31" i="8"/>
  <c r="L33" i="8"/>
  <c r="L1268" i="1"/>
  <c r="K1268" i="1"/>
  <c r="L35" i="8"/>
  <c r="L1270" i="1"/>
  <c r="K1270" i="1"/>
  <c r="D64" i="8"/>
  <c r="D66" i="8"/>
  <c r="D97" i="8"/>
  <c r="D100" i="8"/>
  <c r="D102" i="8"/>
  <c r="K55" i="9"/>
  <c r="K57" i="9"/>
  <c r="K85" i="9"/>
  <c r="K88" i="9"/>
  <c r="K90" i="9"/>
  <c r="K50" i="11"/>
  <c r="K56" i="11"/>
  <c r="K62" i="11"/>
  <c r="K121" i="11"/>
  <c r="K31" i="11"/>
  <c r="K33" i="11"/>
  <c r="K35" i="11"/>
  <c r="K74" i="11"/>
  <c r="K114" i="11"/>
  <c r="K118" i="11"/>
  <c r="K52" i="11"/>
  <c r="K60" i="11"/>
  <c r="K113" i="11"/>
  <c r="G37" i="11"/>
  <c r="K45" i="11"/>
  <c r="K49" i="11"/>
  <c r="K51" i="11"/>
  <c r="K53" i="11"/>
  <c r="K57" i="11"/>
  <c r="K59" i="11"/>
  <c r="K61" i="11"/>
  <c r="K63" i="11"/>
  <c r="K115" i="11"/>
  <c r="K119" i="11"/>
  <c r="K54" i="11"/>
  <c r="K58" i="11"/>
  <c r="K64" i="11"/>
  <c r="K117" i="11"/>
  <c r="K30" i="11"/>
  <c r="K32" i="11"/>
  <c r="K34" i="11"/>
  <c r="K75" i="11"/>
  <c r="K112" i="11"/>
  <c r="K116" i="11"/>
  <c r="K120" i="11"/>
  <c r="K11" i="11"/>
  <c r="K13" i="11"/>
  <c r="K15" i="11"/>
  <c r="K21" i="11"/>
  <c r="G26" i="11"/>
  <c r="G39" i="11"/>
  <c r="K10" i="11"/>
  <c r="K12" i="11"/>
  <c r="K14" i="11"/>
  <c r="K16" i="11"/>
  <c r="K18" i="11"/>
  <c r="K20" i="11"/>
  <c r="F39" i="11"/>
  <c r="F79" i="11"/>
  <c r="F81" i="11"/>
  <c r="F136" i="11"/>
  <c r="F139" i="11"/>
  <c r="F141" i="11"/>
  <c r="I39" i="11"/>
  <c r="I79" i="11"/>
  <c r="I81" i="11"/>
  <c r="I136" i="11"/>
  <c r="F126" i="11"/>
  <c r="F128" i="11"/>
  <c r="F130" i="11"/>
  <c r="F137" i="11"/>
  <c r="E126" i="11"/>
  <c r="E128" i="11"/>
  <c r="E130" i="11"/>
  <c r="E137" i="11"/>
  <c r="D39" i="11"/>
  <c r="D79" i="11"/>
  <c r="D81" i="11"/>
  <c r="D136" i="11"/>
  <c r="G77" i="11"/>
  <c r="C126" i="11"/>
  <c r="C128" i="11"/>
  <c r="C130" i="11"/>
  <c r="C137" i="11"/>
  <c r="G126" i="11"/>
  <c r="G128" i="11"/>
  <c r="G130" i="11"/>
  <c r="G137" i="11"/>
  <c r="C39" i="11"/>
  <c r="C79" i="11"/>
  <c r="C81" i="11"/>
  <c r="C136" i="11"/>
  <c r="C139" i="11"/>
  <c r="C141" i="11"/>
  <c r="G67" i="11"/>
  <c r="G69" i="11"/>
  <c r="D126" i="11"/>
  <c r="D128" i="11"/>
  <c r="D130" i="11"/>
  <c r="D137" i="11"/>
  <c r="K96" i="6"/>
  <c r="K59" i="6"/>
  <c r="K53" i="6"/>
  <c r="K58" i="6"/>
  <c r="K55" i="6"/>
  <c r="K47" i="6"/>
  <c r="K49" i="6"/>
  <c r="K48" i="6"/>
  <c r="K52" i="6"/>
  <c r="K12" i="6"/>
  <c r="K787" i="1"/>
  <c r="K14" i="6"/>
  <c r="K789" i="1"/>
  <c r="K18" i="6"/>
  <c r="K793" i="1"/>
  <c r="K20" i="6"/>
  <c r="K794" i="1"/>
  <c r="K33" i="6"/>
  <c r="K46" i="6"/>
  <c r="K11" i="6"/>
  <c r="K786" i="1"/>
  <c r="K13" i="6"/>
  <c r="K788" i="1"/>
  <c r="K15" i="6"/>
  <c r="K790" i="1"/>
  <c r="K30" i="6"/>
  <c r="K32" i="6"/>
  <c r="K34" i="6"/>
  <c r="K45" i="6"/>
  <c r="K16" i="6"/>
  <c r="K791" i="1"/>
  <c r="K31" i="6"/>
  <c r="K10" i="6"/>
  <c r="K785" i="1"/>
  <c r="C72" i="6"/>
  <c r="J70" i="6"/>
  <c r="J72" i="6"/>
  <c r="E128" i="6"/>
  <c r="E130" i="6"/>
  <c r="E132" i="6"/>
  <c r="E137" i="6"/>
  <c r="J99" i="7"/>
  <c r="J101" i="7"/>
  <c r="J103" i="7"/>
  <c r="J105" i="7"/>
  <c r="E66" i="3"/>
  <c r="E68" i="3"/>
  <c r="E103" i="3"/>
  <c r="E106" i="3"/>
  <c r="E108" i="3"/>
  <c r="G62" i="3"/>
  <c r="G64" i="3"/>
  <c r="J117" i="2"/>
  <c r="J119" i="2"/>
  <c r="J121" i="2"/>
  <c r="J123" i="2"/>
  <c r="J127" i="2"/>
  <c r="J106" i="6"/>
  <c r="J128" i="6"/>
  <c r="J130" i="6"/>
  <c r="J132" i="6"/>
  <c r="J137" i="6"/>
  <c r="C128" i="6"/>
  <c r="C130" i="6"/>
  <c r="C132" i="6"/>
  <c r="C137" i="6"/>
  <c r="J164" i="11"/>
  <c r="J166" i="11"/>
  <c r="J155" i="11"/>
  <c r="J157" i="11"/>
  <c r="J168" i="11"/>
  <c r="J124" i="11"/>
  <c r="J126" i="11"/>
  <c r="J128" i="11"/>
  <c r="J130" i="11"/>
  <c r="I126" i="11"/>
  <c r="I128" i="11"/>
  <c r="I130" i="11"/>
  <c r="I137" i="11"/>
  <c r="J37" i="11"/>
  <c r="J26" i="11"/>
  <c r="J77" i="11"/>
  <c r="J67" i="11"/>
  <c r="J69" i="11"/>
  <c r="J61" i="5"/>
  <c r="J63" i="5"/>
  <c r="I45" i="5"/>
  <c r="I65" i="5"/>
  <c r="I68" i="5"/>
  <c r="I72" i="5"/>
  <c r="J24" i="5"/>
  <c r="J45" i="5"/>
  <c r="I38" i="4"/>
  <c r="J36" i="4"/>
  <c r="D61" i="4"/>
  <c r="D63" i="4"/>
  <c r="D69" i="4"/>
  <c r="D72" i="4"/>
  <c r="D74" i="4"/>
  <c r="C61" i="4"/>
  <c r="C63" i="4"/>
  <c r="C69" i="4"/>
  <c r="C72" i="4"/>
  <c r="C74" i="4"/>
  <c r="J57" i="4"/>
  <c r="J59" i="4"/>
  <c r="J25" i="4"/>
  <c r="J38" i="4"/>
  <c r="I61" i="4"/>
  <c r="I63" i="4"/>
  <c r="I69" i="4"/>
  <c r="J143" i="2"/>
  <c r="J145" i="2"/>
  <c r="J101" i="2"/>
  <c r="J81" i="2"/>
  <c r="J88" i="2"/>
  <c r="J27" i="2"/>
  <c r="J41" i="2"/>
  <c r="I77" i="9"/>
  <c r="I79" i="9"/>
  <c r="I86" i="9"/>
  <c r="I40" i="9"/>
  <c r="I55" i="9"/>
  <c r="I57" i="9"/>
  <c r="I85" i="9"/>
  <c r="I88" i="9"/>
  <c r="J27" i="9"/>
  <c r="J40" i="9"/>
  <c r="J55" i="9"/>
  <c r="J57" i="9"/>
  <c r="J85" i="8"/>
  <c r="J75" i="8"/>
  <c r="J87" i="8"/>
  <c r="J89" i="8"/>
  <c r="J91" i="8"/>
  <c r="J51" i="8"/>
  <c r="J38" i="8"/>
  <c r="J62" i="8"/>
  <c r="J27" i="8"/>
  <c r="I40" i="8"/>
  <c r="I64" i="8"/>
  <c r="I66" i="8"/>
  <c r="I97" i="8"/>
  <c r="I100" i="8"/>
  <c r="I102" i="8"/>
  <c r="J144" i="7"/>
  <c r="J146" i="7"/>
  <c r="J86" i="7"/>
  <c r="J76" i="7"/>
  <c r="J130" i="7"/>
  <c r="J132" i="7"/>
  <c r="J65" i="7"/>
  <c r="J67" i="7"/>
  <c r="I88" i="7"/>
  <c r="I90" i="7"/>
  <c r="I111" i="7"/>
  <c r="J28" i="7"/>
  <c r="J41" i="7"/>
  <c r="G36" i="6"/>
  <c r="G80" i="6"/>
  <c r="C38" i="6"/>
  <c r="I38" i="6"/>
  <c r="J36" i="6"/>
  <c r="G70" i="6"/>
  <c r="G72" i="6"/>
  <c r="C88" i="6"/>
  <c r="C90" i="6"/>
  <c r="C136" i="6"/>
  <c r="G26" i="6"/>
  <c r="J26" i="6"/>
  <c r="D38" i="6"/>
  <c r="D88" i="6"/>
  <c r="D90" i="6"/>
  <c r="D136" i="6"/>
  <c r="E38" i="6"/>
  <c r="E88" i="6"/>
  <c r="E90" i="6"/>
  <c r="E136" i="6"/>
  <c r="G128" i="6"/>
  <c r="G130" i="6"/>
  <c r="G132" i="6"/>
  <c r="G137" i="6"/>
  <c r="G57" i="4"/>
  <c r="G59" i="4"/>
  <c r="G61" i="4"/>
  <c r="G63" i="4"/>
  <c r="G69" i="4"/>
  <c r="G72" i="4"/>
  <c r="G74" i="4"/>
  <c r="F66" i="3"/>
  <c r="F68" i="3"/>
  <c r="F103" i="3"/>
  <c r="F106" i="3"/>
  <c r="F108" i="3"/>
  <c r="C66" i="3"/>
  <c r="C68" i="3"/>
  <c r="C103" i="3"/>
  <c r="C106" i="3"/>
  <c r="C108" i="3"/>
  <c r="I66" i="3"/>
  <c r="I68" i="3"/>
  <c r="I103" i="3"/>
  <c r="J35" i="3"/>
  <c r="J37" i="3"/>
  <c r="D37" i="3"/>
  <c r="D66" i="3"/>
  <c r="D68" i="3"/>
  <c r="D103" i="3"/>
  <c r="D106" i="3"/>
  <c r="D108" i="3"/>
  <c r="G35" i="3"/>
  <c r="G37" i="3"/>
  <c r="J62" i="3"/>
  <c r="J64" i="3"/>
  <c r="D96" i="3"/>
  <c r="D98" i="3"/>
  <c r="D100" i="3"/>
  <c r="D104" i="3"/>
  <c r="I96" i="3"/>
  <c r="I98" i="3"/>
  <c r="I100" i="3"/>
  <c r="I104" i="3"/>
  <c r="J94" i="3"/>
  <c r="J96" i="3"/>
  <c r="J98" i="3"/>
  <c r="J100" i="3"/>
  <c r="G55" i="9"/>
  <c r="G57" i="9"/>
  <c r="G85" i="9"/>
  <c r="G88" i="9"/>
  <c r="G90" i="9"/>
  <c r="C55" i="9"/>
  <c r="C57" i="9"/>
  <c r="C85" i="9"/>
  <c r="C114" i="7"/>
  <c r="C116" i="7"/>
  <c r="D88" i="7"/>
  <c r="D90" i="7"/>
  <c r="D111" i="7"/>
  <c r="D114" i="7"/>
  <c r="D116" i="7"/>
  <c r="F88" i="7"/>
  <c r="F90" i="7"/>
  <c r="F111" i="7"/>
  <c r="E79" i="11"/>
  <c r="E81" i="11"/>
  <c r="E136" i="11"/>
  <c r="F128" i="6"/>
  <c r="F130" i="6"/>
  <c r="F132" i="6"/>
  <c r="F137" i="6"/>
  <c r="F38" i="6"/>
  <c r="F88" i="6"/>
  <c r="F90" i="6"/>
  <c r="F136" i="6"/>
  <c r="D128" i="6"/>
  <c r="D130" i="6"/>
  <c r="D132" i="6"/>
  <c r="D137" i="6"/>
  <c r="I128" i="6"/>
  <c r="I130" i="6"/>
  <c r="I132" i="6"/>
  <c r="I137" i="6"/>
  <c r="J80" i="6"/>
  <c r="F65" i="5"/>
  <c r="F68" i="5"/>
  <c r="F72" i="5"/>
  <c r="F75" i="5"/>
  <c r="F77" i="5"/>
  <c r="L65" i="5"/>
  <c r="L68" i="5"/>
  <c r="L72" i="5"/>
  <c r="L75" i="5"/>
  <c r="L77" i="5"/>
  <c r="C65" i="5"/>
  <c r="C68" i="5"/>
  <c r="C72" i="5"/>
  <c r="C75" i="5"/>
  <c r="C77" i="5"/>
  <c r="E61" i="4"/>
  <c r="E63" i="4"/>
  <c r="E69" i="4"/>
  <c r="E72" i="4"/>
  <c r="E74" i="4"/>
  <c r="F103" i="2"/>
  <c r="F105" i="2"/>
  <c r="F126" i="2"/>
  <c r="F129" i="2"/>
  <c r="F131" i="2"/>
  <c r="I103" i="2"/>
  <c r="I105" i="2"/>
  <c r="I126" i="2"/>
  <c r="G27" i="2"/>
  <c r="G39" i="2"/>
  <c r="G47" i="2"/>
  <c r="G81" i="2"/>
  <c r="G88" i="2"/>
  <c r="G32" i="2"/>
  <c r="C41" i="2"/>
  <c r="H47" i="2"/>
  <c r="H46" i="1"/>
  <c r="H45" i="1"/>
  <c r="H44" i="1"/>
  <c r="H36" i="1"/>
  <c r="H35" i="1"/>
  <c r="H34" i="1"/>
  <c r="H33" i="1"/>
  <c r="H32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L1428" i="1"/>
  <c r="L1430" i="1"/>
  <c r="K1428" i="1"/>
  <c r="K1430" i="1"/>
  <c r="L1429" i="1"/>
  <c r="L1431" i="1"/>
  <c r="L1438" i="1"/>
  <c r="K1429" i="1"/>
  <c r="K1431" i="1"/>
  <c r="K1438" i="1"/>
  <c r="D1425" i="1"/>
  <c r="E1425" i="1"/>
  <c r="F1425" i="1"/>
  <c r="G1425" i="1"/>
  <c r="C1425" i="1"/>
  <c r="D1418" i="1"/>
  <c r="E1418" i="1"/>
  <c r="F1418" i="1"/>
  <c r="G1418" i="1"/>
  <c r="C1418" i="1"/>
  <c r="L1403" i="1"/>
  <c r="L1405" i="1"/>
  <c r="K1403" i="1"/>
  <c r="K1405" i="1"/>
  <c r="I1403" i="1"/>
  <c r="I1405" i="1"/>
  <c r="D1403" i="1"/>
  <c r="D1405" i="1"/>
  <c r="E1403" i="1"/>
  <c r="E1405" i="1"/>
  <c r="F1403" i="1"/>
  <c r="F1405" i="1"/>
  <c r="G1403" i="1"/>
  <c r="G1405" i="1"/>
  <c r="C1403" i="1"/>
  <c r="C1405" i="1"/>
  <c r="L1390" i="1"/>
  <c r="K1390" i="1"/>
  <c r="I1390" i="1"/>
  <c r="G1388" i="1"/>
  <c r="G1387" i="1"/>
  <c r="G1386" i="1"/>
  <c r="G1385" i="1"/>
  <c r="G1384" i="1"/>
  <c r="G1383" i="1"/>
  <c r="D1390" i="1"/>
  <c r="E1390" i="1"/>
  <c r="F1390" i="1"/>
  <c r="C1390" i="1"/>
  <c r="K1379" i="1"/>
  <c r="I1379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47" i="1"/>
  <c r="G1345" i="1"/>
  <c r="G1341" i="1"/>
  <c r="D1379" i="1"/>
  <c r="E1379" i="1"/>
  <c r="F1379" i="1"/>
  <c r="C1379" i="1"/>
  <c r="L1349" i="1"/>
  <c r="L1351" i="1"/>
  <c r="F11" i="18"/>
  <c r="K1349" i="1"/>
  <c r="K1351" i="1"/>
  <c r="D11" i="18"/>
  <c r="I1349" i="1"/>
  <c r="I1351" i="1"/>
  <c r="D1349" i="1"/>
  <c r="D1351" i="1"/>
  <c r="E1349" i="1"/>
  <c r="E1351" i="1"/>
  <c r="F1349" i="1"/>
  <c r="F1351" i="1"/>
  <c r="C1349" i="1"/>
  <c r="C1351" i="1"/>
  <c r="I1320" i="1"/>
  <c r="D1320" i="1"/>
  <c r="E1320" i="1"/>
  <c r="F1320" i="1"/>
  <c r="G1320" i="1"/>
  <c r="C1320" i="1"/>
  <c r="I1310" i="1"/>
  <c r="D1310" i="1"/>
  <c r="E1310" i="1"/>
  <c r="F1310" i="1"/>
  <c r="G1310" i="1"/>
  <c r="C1310" i="1"/>
  <c r="I1297" i="1"/>
  <c r="G1295" i="1"/>
  <c r="G1294" i="1"/>
  <c r="G1293" i="1"/>
  <c r="G1292" i="1"/>
  <c r="D1297" i="1"/>
  <c r="E1297" i="1"/>
  <c r="F1297" i="1"/>
  <c r="C1297" i="1"/>
  <c r="L1286" i="1"/>
  <c r="K1286" i="1"/>
  <c r="I1286" i="1"/>
  <c r="D1286" i="1"/>
  <c r="E1286" i="1"/>
  <c r="F1286" i="1"/>
  <c r="G1286" i="1"/>
  <c r="C1286" i="1"/>
  <c r="I1273" i="1"/>
  <c r="D1273" i="1"/>
  <c r="E1273" i="1"/>
  <c r="F1273" i="1"/>
  <c r="C1273" i="1"/>
  <c r="G1271" i="1"/>
  <c r="G1270" i="1"/>
  <c r="G1269" i="1"/>
  <c r="G1268" i="1"/>
  <c r="G1267" i="1"/>
  <c r="G1266" i="1"/>
  <c r="G11" i="1"/>
  <c r="I1262" i="1"/>
  <c r="D1262" i="1"/>
  <c r="E1262" i="1"/>
  <c r="F1262" i="1"/>
  <c r="C1262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L1232" i="1"/>
  <c r="L1234" i="1"/>
  <c r="K1232" i="1"/>
  <c r="K1234" i="1"/>
  <c r="I1232" i="1"/>
  <c r="I1234" i="1"/>
  <c r="C1232" i="1"/>
  <c r="C1234" i="1"/>
  <c r="D1232" i="1"/>
  <c r="D1234" i="1"/>
  <c r="E1232" i="1"/>
  <c r="E1234" i="1"/>
  <c r="F1232" i="1"/>
  <c r="F1234" i="1"/>
  <c r="G1232" i="1"/>
  <c r="G1234" i="1"/>
  <c r="L1218" i="1"/>
  <c r="L1220" i="1"/>
  <c r="F10" i="18"/>
  <c r="K1218" i="1"/>
  <c r="K1220" i="1"/>
  <c r="D10" i="18"/>
  <c r="I1218" i="1"/>
  <c r="I1220" i="1"/>
  <c r="D1218" i="1"/>
  <c r="D1220" i="1"/>
  <c r="E1218" i="1"/>
  <c r="E1220" i="1"/>
  <c r="F1218" i="1"/>
  <c r="F1220" i="1"/>
  <c r="C1218" i="1"/>
  <c r="C1220" i="1"/>
  <c r="G1216" i="1"/>
  <c r="G1214" i="1"/>
  <c r="G1213" i="1"/>
  <c r="G1212" i="1"/>
  <c r="G325" i="1"/>
  <c r="G1211" i="1"/>
  <c r="G1210" i="1"/>
  <c r="G1208" i="1"/>
  <c r="L1084" i="1"/>
  <c r="L1086" i="1"/>
  <c r="K1084" i="1"/>
  <c r="K1086" i="1"/>
  <c r="I1084" i="1"/>
  <c r="I1086" i="1"/>
  <c r="D1084" i="1"/>
  <c r="D1086" i="1"/>
  <c r="E1084" i="1"/>
  <c r="E1086" i="1"/>
  <c r="F1084" i="1"/>
  <c r="F1086" i="1"/>
  <c r="G1084" i="1"/>
  <c r="G1086" i="1"/>
  <c r="C1084" i="1"/>
  <c r="C1086" i="1"/>
  <c r="L1075" i="1"/>
  <c r="L1077" i="1"/>
  <c r="K1075" i="1"/>
  <c r="K1077" i="1"/>
  <c r="I1075" i="1"/>
  <c r="I1077" i="1"/>
  <c r="D1075" i="1"/>
  <c r="D1077" i="1"/>
  <c r="D1088" i="1"/>
  <c r="E1075" i="1"/>
  <c r="E1077" i="1"/>
  <c r="E1088" i="1"/>
  <c r="F1075" i="1"/>
  <c r="F1077" i="1"/>
  <c r="G1075" i="1"/>
  <c r="G1077" i="1"/>
  <c r="C1075" i="1"/>
  <c r="C1077" i="1"/>
  <c r="C1088" i="1"/>
  <c r="I1044" i="1"/>
  <c r="D1044" i="1"/>
  <c r="E1044" i="1"/>
  <c r="F1044" i="1"/>
  <c r="G1044" i="1"/>
  <c r="C1044" i="1"/>
  <c r="I1028" i="1"/>
  <c r="D1028" i="1"/>
  <c r="E1028" i="1"/>
  <c r="F1028" i="1"/>
  <c r="G1028" i="1"/>
  <c r="C1028" i="1"/>
  <c r="I1022" i="1"/>
  <c r="D1022" i="1"/>
  <c r="E1022" i="1"/>
  <c r="F1022" i="1"/>
  <c r="G1022" i="1"/>
  <c r="C1022" i="1"/>
  <c r="I1016" i="1"/>
  <c r="D1016" i="1"/>
  <c r="E1016" i="1"/>
  <c r="F1016" i="1"/>
  <c r="G1016" i="1"/>
  <c r="C1016" i="1"/>
  <c r="I1009" i="1"/>
  <c r="D1009" i="1"/>
  <c r="E1009" i="1"/>
  <c r="F1009" i="1"/>
  <c r="G1009" i="1"/>
  <c r="C1009" i="1"/>
  <c r="I997" i="1"/>
  <c r="D997" i="1"/>
  <c r="E997" i="1"/>
  <c r="F997" i="1"/>
  <c r="C997" i="1"/>
  <c r="G994" i="1"/>
  <c r="G995" i="1"/>
  <c r="G993" i="1"/>
  <c r="I987" i="1"/>
  <c r="I989" i="1"/>
  <c r="D987" i="1"/>
  <c r="D989" i="1"/>
  <c r="E987" i="1"/>
  <c r="E989" i="1"/>
  <c r="F987" i="1"/>
  <c r="F989" i="1"/>
  <c r="C987" i="1"/>
  <c r="C989" i="1"/>
  <c r="G966" i="1"/>
  <c r="G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65" i="1"/>
  <c r="I957" i="1"/>
  <c r="D957" i="1"/>
  <c r="E957" i="1"/>
  <c r="F957" i="1"/>
  <c r="C957" i="1"/>
  <c r="G955" i="1"/>
  <c r="G954" i="1"/>
  <c r="G953" i="1"/>
  <c r="G952" i="1"/>
  <c r="G951" i="1"/>
  <c r="G950" i="1"/>
  <c r="I946" i="1"/>
  <c r="D946" i="1"/>
  <c r="E946" i="1"/>
  <c r="F946" i="1"/>
  <c r="C946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31" i="1"/>
  <c r="I90" i="9"/>
  <c r="L84" i="6"/>
  <c r="K858" i="1"/>
  <c r="K203" i="1"/>
  <c r="F8" i="17"/>
  <c r="K86" i="6"/>
  <c r="L1365" i="1"/>
  <c r="L1379" i="1"/>
  <c r="L27" i="9"/>
  <c r="L40" i="9"/>
  <c r="L55" i="9"/>
  <c r="L57" i="9"/>
  <c r="L85" i="9"/>
  <c r="L88" i="9"/>
  <c r="L90" i="9"/>
  <c r="I72" i="4"/>
  <c r="I74" i="4"/>
  <c r="J844" i="1"/>
  <c r="J846" i="1"/>
  <c r="J862" i="1"/>
  <c r="J864" i="1"/>
  <c r="J910" i="1"/>
  <c r="J913" i="1"/>
  <c r="J915" i="1"/>
  <c r="K842" i="1"/>
  <c r="K162" i="1"/>
  <c r="L68" i="6"/>
  <c r="L842" i="1"/>
  <c r="L162" i="1"/>
  <c r="K838" i="1"/>
  <c r="L64" i="6"/>
  <c r="L838" i="1"/>
  <c r="K840" i="1"/>
  <c r="K151" i="1"/>
  <c r="L66" i="6"/>
  <c r="L840" i="1"/>
  <c r="L151" i="1"/>
  <c r="K841" i="1"/>
  <c r="K158" i="1"/>
  <c r="L67" i="6"/>
  <c r="L841" i="1"/>
  <c r="L158" i="1"/>
  <c r="K837" i="1"/>
  <c r="K146" i="1"/>
  <c r="L63" i="6"/>
  <c r="L837" i="1"/>
  <c r="L146" i="1"/>
  <c r="J40" i="1"/>
  <c r="J50" i="1"/>
  <c r="D4" i="17"/>
  <c r="J999" i="1"/>
  <c r="J1001" i="1"/>
  <c r="J1056" i="1"/>
  <c r="J1059" i="1"/>
  <c r="J1061" i="1"/>
  <c r="L84" i="2"/>
  <c r="K442" i="1"/>
  <c r="K168" i="1"/>
  <c r="K86" i="2"/>
  <c r="J170" i="1"/>
  <c r="J172" i="1"/>
  <c r="D5" i="17"/>
  <c r="J444" i="1"/>
  <c r="J446" i="1"/>
  <c r="J398" i="1"/>
  <c r="C100" i="8"/>
  <c r="C102" i="8"/>
  <c r="I1088" i="1"/>
  <c r="F114" i="7"/>
  <c r="F116" i="7"/>
  <c r="J111" i="7"/>
  <c r="J114" i="7"/>
  <c r="J116" i="7"/>
  <c r="L21" i="7"/>
  <c r="L1109" i="1"/>
  <c r="L19" i="1"/>
  <c r="K1109" i="1"/>
  <c r="L17" i="7"/>
  <c r="L1105" i="1"/>
  <c r="K1105" i="1"/>
  <c r="K1106" i="1"/>
  <c r="L18" i="7"/>
  <c r="L1106" i="1"/>
  <c r="L20" i="7"/>
  <c r="L1108" i="1"/>
  <c r="K1108" i="1"/>
  <c r="K1111" i="1"/>
  <c r="K23" i="1"/>
  <c r="L23" i="7"/>
  <c r="L1111" i="1"/>
  <c r="L23" i="1"/>
  <c r="K1107" i="1"/>
  <c r="L19" i="7"/>
  <c r="L1107" i="1"/>
  <c r="K1103" i="1"/>
  <c r="L15" i="7"/>
  <c r="L1103" i="1"/>
  <c r="K1099" i="1"/>
  <c r="L11" i="7"/>
  <c r="L1099" i="1"/>
  <c r="L1161" i="1"/>
  <c r="L183" i="1"/>
  <c r="L76" i="7"/>
  <c r="L16" i="7"/>
  <c r="L1104" i="1"/>
  <c r="K1104" i="1"/>
  <c r="L114" i="1"/>
  <c r="G88" i="7"/>
  <c r="G90" i="7"/>
  <c r="G111" i="7"/>
  <c r="G114" i="7"/>
  <c r="G116" i="7"/>
  <c r="K1114" i="1"/>
  <c r="L26" i="7"/>
  <c r="L1114" i="1"/>
  <c r="L22" i="7"/>
  <c r="L1110" i="1"/>
  <c r="K1110" i="1"/>
  <c r="L10" i="7"/>
  <c r="K1098" i="1"/>
  <c r="K28" i="7"/>
  <c r="K114" i="1"/>
  <c r="L47" i="7"/>
  <c r="K1135" i="1"/>
  <c r="K65" i="7"/>
  <c r="K67" i="7"/>
  <c r="L25" i="7"/>
  <c r="L1113" i="1"/>
  <c r="K1113" i="1"/>
  <c r="L13" i="7"/>
  <c r="L1101" i="1"/>
  <c r="K1101" i="1"/>
  <c r="K19" i="1"/>
  <c r="K1102" i="1"/>
  <c r="L14" i="7"/>
  <c r="L1102" i="1"/>
  <c r="L32" i="7"/>
  <c r="K39" i="7"/>
  <c r="K1120" i="1"/>
  <c r="K1127" i="1"/>
  <c r="L24" i="7"/>
  <c r="L1112" i="1"/>
  <c r="K1112" i="1"/>
  <c r="L12" i="7"/>
  <c r="L1100" i="1"/>
  <c r="K1100" i="1"/>
  <c r="G1088" i="1"/>
  <c r="F1088" i="1"/>
  <c r="H1088" i="1"/>
  <c r="L1088" i="1"/>
  <c r="F9" i="18"/>
  <c r="K1088" i="1"/>
  <c r="D9" i="18"/>
  <c r="I75" i="5"/>
  <c r="I77" i="5"/>
  <c r="K35" i="3"/>
  <c r="G66" i="3"/>
  <c r="G68" i="3"/>
  <c r="G103" i="3"/>
  <c r="G106" i="3"/>
  <c r="G108" i="3"/>
  <c r="L43" i="3"/>
  <c r="K545" i="1"/>
  <c r="K62" i="3"/>
  <c r="K64" i="3"/>
  <c r="L14" i="3"/>
  <c r="L519" i="1"/>
  <c r="K519" i="1"/>
  <c r="L31" i="3"/>
  <c r="L533" i="1"/>
  <c r="K533" i="1"/>
  <c r="L30" i="3"/>
  <c r="L532" i="1"/>
  <c r="K532" i="1"/>
  <c r="L19" i="3"/>
  <c r="L522" i="1"/>
  <c r="K522" i="1"/>
  <c r="L13" i="3"/>
  <c r="L518" i="1"/>
  <c r="K518" i="1"/>
  <c r="L20" i="3"/>
  <c r="L523" i="1"/>
  <c r="K523" i="1"/>
  <c r="L12" i="3"/>
  <c r="L517" i="1"/>
  <c r="K517" i="1"/>
  <c r="L32" i="3"/>
  <c r="L534" i="1"/>
  <c r="K534" i="1"/>
  <c r="L29" i="3"/>
  <c r="K531" i="1"/>
  <c r="L17" i="3"/>
  <c r="L521" i="1"/>
  <c r="K521" i="1"/>
  <c r="L33" i="3"/>
  <c r="L535" i="1"/>
  <c r="K535" i="1"/>
  <c r="L112" i="2"/>
  <c r="K117" i="2"/>
  <c r="K119" i="2"/>
  <c r="K121" i="2"/>
  <c r="K123" i="2"/>
  <c r="K127" i="2"/>
  <c r="K451" i="1"/>
  <c r="K181" i="1"/>
  <c r="L95" i="2"/>
  <c r="L451" i="1"/>
  <c r="L181" i="1"/>
  <c r="L75" i="2"/>
  <c r="L432" i="1"/>
  <c r="L154" i="1"/>
  <c r="K432" i="1"/>
  <c r="K154" i="1"/>
  <c r="L94" i="2"/>
  <c r="L450" i="1"/>
  <c r="L180" i="1"/>
  <c r="K450" i="1"/>
  <c r="K180" i="1"/>
  <c r="L114" i="2"/>
  <c r="L278" i="1"/>
  <c r="K278" i="1"/>
  <c r="K452" i="1"/>
  <c r="K187" i="1"/>
  <c r="L98" i="2"/>
  <c r="L452" i="1"/>
  <c r="L187" i="1"/>
  <c r="L99" i="2"/>
  <c r="L453" i="1"/>
  <c r="L189" i="1"/>
  <c r="K453" i="1"/>
  <c r="K189" i="1"/>
  <c r="K449" i="1"/>
  <c r="K176" i="1"/>
  <c r="L91" i="2"/>
  <c r="K101" i="2"/>
  <c r="L12" i="2"/>
  <c r="K373" i="1"/>
  <c r="L35" i="2"/>
  <c r="L393" i="1"/>
  <c r="K393" i="1"/>
  <c r="K416" i="1"/>
  <c r="K104" i="1"/>
  <c r="L59" i="2"/>
  <c r="L416" i="1"/>
  <c r="L104" i="1"/>
  <c r="K27" i="2"/>
  <c r="K426" i="1"/>
  <c r="K142" i="1"/>
  <c r="L69" i="2"/>
  <c r="L426" i="1"/>
  <c r="L142" i="1"/>
  <c r="K417" i="1"/>
  <c r="L60" i="2"/>
  <c r="L417" i="1"/>
  <c r="K429" i="1"/>
  <c r="L72" i="2"/>
  <c r="L429" i="1"/>
  <c r="K412" i="1"/>
  <c r="K88" i="1"/>
  <c r="L55" i="2"/>
  <c r="L412" i="1"/>
  <c r="L88" i="1"/>
  <c r="K427" i="1"/>
  <c r="L70" i="2"/>
  <c r="L427" i="1"/>
  <c r="K418" i="1"/>
  <c r="K117" i="1"/>
  <c r="L61" i="2"/>
  <c r="L418" i="1"/>
  <c r="L117" i="1"/>
  <c r="K410" i="1"/>
  <c r="K79" i="1"/>
  <c r="L53" i="2"/>
  <c r="L410" i="1"/>
  <c r="L79" i="1"/>
  <c r="L37" i="2"/>
  <c r="L394" i="1"/>
  <c r="K394" i="1"/>
  <c r="L33" i="2"/>
  <c r="L391" i="1"/>
  <c r="K391" i="1"/>
  <c r="K428" i="1"/>
  <c r="K145" i="1"/>
  <c r="L71" i="2"/>
  <c r="L428" i="1"/>
  <c r="L145" i="1"/>
  <c r="L16" i="2"/>
  <c r="L377" i="1"/>
  <c r="K377" i="1"/>
  <c r="K408" i="1"/>
  <c r="K72" i="1"/>
  <c r="L51" i="2"/>
  <c r="L408" i="1"/>
  <c r="L72" i="1"/>
  <c r="K415" i="1"/>
  <c r="L58" i="2"/>
  <c r="L415" i="1"/>
  <c r="K409" i="1"/>
  <c r="K75" i="1"/>
  <c r="L52" i="2"/>
  <c r="L409" i="1"/>
  <c r="L75" i="1"/>
  <c r="L18" i="2"/>
  <c r="L379" i="1"/>
  <c r="K379" i="1"/>
  <c r="L14" i="2"/>
  <c r="L375" i="1"/>
  <c r="K375" i="1"/>
  <c r="K404" i="1"/>
  <c r="L47" i="2"/>
  <c r="L404" i="1"/>
  <c r="L13" i="2"/>
  <c r="L374" i="1"/>
  <c r="K374" i="1"/>
  <c r="K419" i="1"/>
  <c r="K120" i="1"/>
  <c r="L62" i="2"/>
  <c r="L419" i="1"/>
  <c r="L120" i="1"/>
  <c r="K411" i="1"/>
  <c r="L54" i="2"/>
  <c r="L411" i="1"/>
  <c r="L17" i="2"/>
  <c r="L378" i="1"/>
  <c r="L15" i="1"/>
  <c r="K378" i="1"/>
  <c r="K15" i="1"/>
  <c r="L32" i="2"/>
  <c r="K390" i="1"/>
  <c r="K39" i="2"/>
  <c r="L34" i="2"/>
  <c r="L392" i="1"/>
  <c r="K392" i="1"/>
  <c r="L19" i="2"/>
  <c r="L380" i="1"/>
  <c r="K380" i="1"/>
  <c r="K407" i="1"/>
  <c r="K67" i="1"/>
  <c r="L50" i="2"/>
  <c r="L407" i="1"/>
  <c r="L67" i="1"/>
  <c r="L65" i="2"/>
  <c r="L422" i="1"/>
  <c r="L129" i="1"/>
  <c r="K422" i="1"/>
  <c r="K129" i="1"/>
  <c r="K413" i="1"/>
  <c r="K95" i="1"/>
  <c r="L56" i="2"/>
  <c r="L413" i="1"/>
  <c r="L95" i="1"/>
  <c r="K405" i="1"/>
  <c r="L48" i="2"/>
  <c r="L405" i="1"/>
  <c r="K420" i="1"/>
  <c r="L63" i="2"/>
  <c r="L420" i="1"/>
  <c r="L66" i="2"/>
  <c r="L423" i="1"/>
  <c r="L130" i="1"/>
  <c r="K423" i="1"/>
  <c r="K130" i="1"/>
  <c r="K414" i="1"/>
  <c r="K100" i="1"/>
  <c r="L57" i="2"/>
  <c r="L414" i="1"/>
  <c r="L100" i="1"/>
  <c r="K406" i="1"/>
  <c r="L49" i="2"/>
  <c r="L406" i="1"/>
  <c r="K424" i="1"/>
  <c r="K140" i="1"/>
  <c r="L67" i="2"/>
  <c r="L424" i="1"/>
  <c r="L140" i="1"/>
  <c r="K425" i="1"/>
  <c r="K141" i="1"/>
  <c r="L68" i="2"/>
  <c r="L425" i="1"/>
  <c r="L141" i="1"/>
  <c r="K430" i="1"/>
  <c r="K152" i="1"/>
  <c r="K81" i="2"/>
  <c r="L11" i="3"/>
  <c r="K25" i="3"/>
  <c r="K37" i="3"/>
  <c r="G64" i="8"/>
  <c r="G66" i="8"/>
  <c r="G97" i="8"/>
  <c r="G100" i="8"/>
  <c r="G102" i="8"/>
  <c r="L79" i="8"/>
  <c r="K1314" i="1"/>
  <c r="K85" i="8"/>
  <c r="L57" i="8"/>
  <c r="K1292" i="1"/>
  <c r="K62" i="8"/>
  <c r="L72" i="8"/>
  <c r="K1307" i="1"/>
  <c r="K75" i="8"/>
  <c r="J97" i="8"/>
  <c r="J100" i="8"/>
  <c r="J102" i="8"/>
  <c r="I1275" i="1"/>
  <c r="I1299" i="1"/>
  <c r="I1301" i="1"/>
  <c r="I1332" i="1"/>
  <c r="K1245" i="1"/>
  <c r="K1262" i="1"/>
  <c r="L10" i="8"/>
  <c r="K27" i="8"/>
  <c r="L31" i="8"/>
  <c r="K1266" i="1"/>
  <c r="K1273" i="1"/>
  <c r="K38" i="8"/>
  <c r="I116" i="7"/>
  <c r="I114" i="7"/>
  <c r="K26" i="11"/>
  <c r="L116" i="11"/>
  <c r="L51" i="11"/>
  <c r="L971" i="1"/>
  <c r="K971" i="1"/>
  <c r="L118" i="11"/>
  <c r="L273" i="1"/>
  <c r="K273" i="1"/>
  <c r="L74" i="11"/>
  <c r="K994" i="1"/>
  <c r="K177" i="1"/>
  <c r="K77" i="11"/>
  <c r="L30" i="11"/>
  <c r="K950" i="1"/>
  <c r="K37" i="11"/>
  <c r="L54" i="11"/>
  <c r="L974" i="1"/>
  <c r="K974" i="1"/>
  <c r="L115" i="11"/>
  <c r="L268" i="1"/>
  <c r="K268" i="1"/>
  <c r="L53" i="11"/>
  <c r="L973" i="1"/>
  <c r="K973" i="1"/>
  <c r="L49" i="11"/>
  <c r="L969" i="1"/>
  <c r="L78" i="1"/>
  <c r="K969" i="1"/>
  <c r="K78" i="1"/>
  <c r="L60" i="11"/>
  <c r="L980" i="1"/>
  <c r="L138" i="1"/>
  <c r="K980" i="1"/>
  <c r="K138" i="1"/>
  <c r="L121" i="11"/>
  <c r="L282" i="1"/>
  <c r="K282" i="1"/>
  <c r="L56" i="11"/>
  <c r="L976" i="1"/>
  <c r="L122" i="1"/>
  <c r="K976" i="1"/>
  <c r="K122" i="1"/>
  <c r="K953" i="1"/>
  <c r="L33" i="11"/>
  <c r="L953" i="1"/>
  <c r="K281" i="1"/>
  <c r="L120" i="11"/>
  <c r="L281" i="1"/>
  <c r="L112" i="11"/>
  <c r="K124" i="11"/>
  <c r="K126" i="11"/>
  <c r="K128" i="11"/>
  <c r="K130" i="11"/>
  <c r="L34" i="11"/>
  <c r="L954" i="1"/>
  <c r="K954" i="1"/>
  <c r="L64" i="11"/>
  <c r="L984" i="1"/>
  <c r="K984" i="1"/>
  <c r="L63" i="11"/>
  <c r="L983" i="1"/>
  <c r="K983" i="1"/>
  <c r="L59" i="11"/>
  <c r="L979" i="1"/>
  <c r="L136" i="1"/>
  <c r="K979" i="1"/>
  <c r="K136" i="1"/>
  <c r="L114" i="11"/>
  <c r="L267" i="1"/>
  <c r="K267" i="1"/>
  <c r="L62" i="11"/>
  <c r="L982" i="1"/>
  <c r="K982" i="1"/>
  <c r="L50" i="11"/>
  <c r="L970" i="1"/>
  <c r="L81" i="1"/>
  <c r="K970" i="1"/>
  <c r="K81" i="1"/>
  <c r="L117" i="11"/>
  <c r="L270" i="1"/>
  <c r="K270" i="1"/>
  <c r="L75" i="11"/>
  <c r="L995" i="1"/>
  <c r="L178" i="1"/>
  <c r="K995" i="1"/>
  <c r="K178" i="1"/>
  <c r="K952" i="1"/>
  <c r="L32" i="11"/>
  <c r="L952" i="1"/>
  <c r="L58" i="11"/>
  <c r="L978" i="1"/>
  <c r="K978" i="1"/>
  <c r="L119" i="11"/>
  <c r="L985" i="1"/>
  <c r="K985" i="1"/>
  <c r="L61" i="11"/>
  <c r="L981" i="1"/>
  <c r="K981" i="1"/>
  <c r="L57" i="11"/>
  <c r="L977" i="1"/>
  <c r="K977" i="1"/>
  <c r="L45" i="11"/>
  <c r="K965" i="1"/>
  <c r="K67" i="11"/>
  <c r="K69" i="11"/>
  <c r="L113" i="11"/>
  <c r="L52" i="11"/>
  <c r="L972" i="1"/>
  <c r="L86" i="1"/>
  <c r="K972" i="1"/>
  <c r="K86" i="1"/>
  <c r="L35" i="11"/>
  <c r="L955" i="1"/>
  <c r="K955" i="1"/>
  <c r="L31" i="11"/>
  <c r="L951" i="1"/>
  <c r="K951" i="1"/>
  <c r="L20" i="11"/>
  <c r="L940" i="1"/>
  <c r="K940" i="1"/>
  <c r="L16" i="11"/>
  <c r="L937" i="1"/>
  <c r="K937" i="1"/>
  <c r="L12" i="11"/>
  <c r="L933" i="1"/>
  <c r="K933" i="1"/>
  <c r="L17" i="11"/>
  <c r="L938" i="1"/>
  <c r="K938" i="1"/>
  <c r="L13" i="11"/>
  <c r="L934" i="1"/>
  <c r="K934" i="1"/>
  <c r="J136" i="11"/>
  <c r="L18" i="11"/>
  <c r="L939" i="1"/>
  <c r="K939" i="1"/>
  <c r="L14" i="11"/>
  <c r="L935" i="1"/>
  <c r="K935" i="1"/>
  <c r="L10" i="11"/>
  <c r="K931" i="1"/>
  <c r="L21" i="11"/>
  <c r="L941" i="1"/>
  <c r="L22" i="1"/>
  <c r="K941" i="1"/>
  <c r="K22" i="1"/>
  <c r="L15" i="11"/>
  <c r="L936" i="1"/>
  <c r="K936" i="1"/>
  <c r="L11" i="11"/>
  <c r="L932" i="1"/>
  <c r="K932" i="1"/>
  <c r="C1429" i="1"/>
  <c r="C1431" i="1"/>
  <c r="C1438" i="1"/>
  <c r="G79" i="11"/>
  <c r="G81" i="11"/>
  <c r="G136" i="11"/>
  <c r="G139" i="11"/>
  <c r="G141" i="11"/>
  <c r="E139" i="11"/>
  <c r="E141" i="11"/>
  <c r="I139" i="11"/>
  <c r="I141" i="11"/>
  <c r="D139" i="11"/>
  <c r="D141" i="11"/>
  <c r="J39" i="11"/>
  <c r="J79" i="11"/>
  <c r="J81" i="11"/>
  <c r="L96" i="6"/>
  <c r="L128" i="6"/>
  <c r="L130" i="6"/>
  <c r="L132" i="6"/>
  <c r="L137" i="6"/>
  <c r="K128" i="6"/>
  <c r="K130" i="6"/>
  <c r="K132" i="6"/>
  <c r="K137" i="6"/>
  <c r="L53" i="6"/>
  <c r="L827" i="1"/>
  <c r="L80" i="1"/>
  <c r="K827" i="1"/>
  <c r="K80" i="1"/>
  <c r="K833" i="1"/>
  <c r="K132" i="1"/>
  <c r="L59" i="6"/>
  <c r="L833" i="1"/>
  <c r="L132" i="1"/>
  <c r="K832" i="1"/>
  <c r="L58" i="6"/>
  <c r="L832" i="1"/>
  <c r="L55" i="6"/>
  <c r="L829" i="1"/>
  <c r="L83" i="1"/>
  <c r="K829" i="1"/>
  <c r="K83" i="1"/>
  <c r="K70" i="6"/>
  <c r="K72" i="6"/>
  <c r="K26" i="6"/>
  <c r="G38" i="6"/>
  <c r="G88" i="6"/>
  <c r="G90" i="6"/>
  <c r="G136" i="6"/>
  <c r="G139" i="6"/>
  <c r="G141" i="6"/>
  <c r="K826" i="1"/>
  <c r="K77" i="1"/>
  <c r="L52" i="6"/>
  <c r="L826" i="1"/>
  <c r="L77" i="1"/>
  <c r="K823" i="1"/>
  <c r="K73" i="1"/>
  <c r="L49" i="6"/>
  <c r="L823" i="1"/>
  <c r="L73" i="1"/>
  <c r="L48" i="6"/>
  <c r="L822" i="1"/>
  <c r="L69" i="1"/>
  <c r="K822" i="1"/>
  <c r="K69" i="1"/>
  <c r="L47" i="6"/>
  <c r="L821" i="1"/>
  <c r="K821" i="1"/>
  <c r="K804" i="1"/>
  <c r="L30" i="6"/>
  <c r="L46" i="6"/>
  <c r="L820" i="1"/>
  <c r="K820" i="1"/>
  <c r="L20" i="6"/>
  <c r="L794" i="1"/>
  <c r="K36" i="6"/>
  <c r="K805" i="1"/>
  <c r="L31" i="6"/>
  <c r="L805" i="1"/>
  <c r="L34" i="6"/>
  <c r="L808" i="1"/>
  <c r="K808" i="1"/>
  <c r="L13" i="6"/>
  <c r="L788" i="1"/>
  <c r="L14" i="6"/>
  <c r="L789" i="1"/>
  <c r="L16" i="6"/>
  <c r="L791" i="1"/>
  <c r="K819" i="1"/>
  <c r="K57" i="1"/>
  <c r="L45" i="6"/>
  <c r="L32" i="6"/>
  <c r="L806" i="1"/>
  <c r="K806" i="1"/>
  <c r="L15" i="6"/>
  <c r="L790" i="1"/>
  <c r="L11" i="6"/>
  <c r="L786" i="1"/>
  <c r="L33" i="6"/>
  <c r="L807" i="1"/>
  <c r="K807" i="1"/>
  <c r="L18" i="6"/>
  <c r="L793" i="1"/>
  <c r="L12" i="6"/>
  <c r="L787" i="1"/>
  <c r="L10" i="6"/>
  <c r="L785" i="1"/>
  <c r="E139" i="6"/>
  <c r="E141" i="6"/>
  <c r="C139" i="6"/>
  <c r="C141" i="6"/>
  <c r="F139" i="6"/>
  <c r="F141" i="6"/>
  <c r="I88" i="6"/>
  <c r="J88" i="6"/>
  <c r="I106" i="3"/>
  <c r="I108" i="3"/>
  <c r="J103" i="3"/>
  <c r="I129" i="2"/>
  <c r="I131" i="2"/>
  <c r="D1427" i="1"/>
  <c r="D1429" i="1"/>
  <c r="D1431" i="1"/>
  <c r="D1438" i="1"/>
  <c r="E1392" i="1"/>
  <c r="E1407" i="1"/>
  <c r="E1409" i="1"/>
  <c r="E1437" i="1"/>
  <c r="E1275" i="1"/>
  <c r="E1299" i="1"/>
  <c r="E1301" i="1"/>
  <c r="E1332" i="1"/>
  <c r="F1322" i="1"/>
  <c r="F1324" i="1"/>
  <c r="F1326" i="1"/>
  <c r="F1333" i="1"/>
  <c r="E959" i="1"/>
  <c r="E999" i="1"/>
  <c r="E1001" i="1"/>
  <c r="E1056" i="1"/>
  <c r="F959" i="1"/>
  <c r="F999" i="1"/>
  <c r="F1001" i="1"/>
  <c r="F1056" i="1"/>
  <c r="C1392" i="1"/>
  <c r="C1407" i="1"/>
  <c r="C1409" i="1"/>
  <c r="F1392" i="1"/>
  <c r="F1407" i="1"/>
  <c r="F1409" i="1"/>
  <c r="F1437" i="1"/>
  <c r="K1392" i="1"/>
  <c r="K1407" i="1"/>
  <c r="K1409" i="1"/>
  <c r="C959" i="1"/>
  <c r="C999" i="1"/>
  <c r="C1001" i="1"/>
  <c r="D1046" i="1"/>
  <c r="D1048" i="1"/>
  <c r="D1050" i="1"/>
  <c r="D1057" i="1"/>
  <c r="F1275" i="1"/>
  <c r="F1299" i="1"/>
  <c r="F1301" i="1"/>
  <c r="F1332" i="1"/>
  <c r="J104" i="3"/>
  <c r="J66" i="3"/>
  <c r="J68" i="3"/>
  <c r="J86" i="9"/>
  <c r="J137" i="11"/>
  <c r="J65" i="5"/>
  <c r="J68" i="5"/>
  <c r="J72" i="5"/>
  <c r="J75" i="5"/>
  <c r="J77" i="5"/>
  <c r="I1429" i="1"/>
  <c r="I1431" i="1"/>
  <c r="I1438" i="1"/>
  <c r="I1392" i="1"/>
  <c r="I1407" i="1"/>
  <c r="I1409" i="1"/>
  <c r="I1437" i="1"/>
  <c r="J61" i="4"/>
  <c r="J63" i="4"/>
  <c r="J69" i="4"/>
  <c r="J72" i="4"/>
  <c r="J74" i="4"/>
  <c r="J103" i="2"/>
  <c r="J105" i="2"/>
  <c r="J126" i="2"/>
  <c r="J129" i="2"/>
  <c r="J131" i="2"/>
  <c r="J40" i="8"/>
  <c r="J64" i="8"/>
  <c r="J66" i="8"/>
  <c r="J88" i="7"/>
  <c r="J90" i="7"/>
  <c r="E1322" i="1"/>
  <c r="E1324" i="1"/>
  <c r="E1326" i="1"/>
  <c r="E1333" i="1"/>
  <c r="D1392" i="1"/>
  <c r="D1407" i="1"/>
  <c r="D1409" i="1"/>
  <c r="D1437" i="1"/>
  <c r="G987" i="1"/>
  <c r="G989" i="1"/>
  <c r="C1275" i="1"/>
  <c r="C1299" i="1"/>
  <c r="C1301" i="1"/>
  <c r="D959" i="1"/>
  <c r="D999" i="1"/>
  <c r="D1001" i="1"/>
  <c r="D1056" i="1"/>
  <c r="G997" i="1"/>
  <c r="E1046" i="1"/>
  <c r="E1048" i="1"/>
  <c r="E1050" i="1"/>
  <c r="E1057" i="1"/>
  <c r="G1262" i="1"/>
  <c r="G1390" i="1"/>
  <c r="G946" i="1"/>
  <c r="L1392" i="1"/>
  <c r="L1407" i="1"/>
  <c r="L1409" i="1"/>
  <c r="E1427" i="1"/>
  <c r="E1429" i="1"/>
  <c r="E1431" i="1"/>
  <c r="E1438" i="1"/>
  <c r="G957" i="1"/>
  <c r="I959" i="1"/>
  <c r="I999" i="1"/>
  <c r="I1001" i="1"/>
  <c r="I1056" i="1"/>
  <c r="G1046" i="1"/>
  <c r="G1048" i="1"/>
  <c r="G1050" i="1"/>
  <c r="G1057" i="1"/>
  <c r="C1046" i="1"/>
  <c r="C1048" i="1"/>
  <c r="C1050" i="1"/>
  <c r="C1057" i="1"/>
  <c r="D1275" i="1"/>
  <c r="D1299" i="1"/>
  <c r="D1301" i="1"/>
  <c r="D1332" i="1"/>
  <c r="G1273" i="1"/>
  <c r="G1297" i="1"/>
  <c r="G1429" i="1"/>
  <c r="G1431" i="1"/>
  <c r="G1438" i="1"/>
  <c r="F1046" i="1"/>
  <c r="F1048" i="1"/>
  <c r="F1050" i="1"/>
  <c r="F1057" i="1"/>
  <c r="I1046" i="1"/>
  <c r="I1048" i="1"/>
  <c r="I1050" i="1"/>
  <c r="I1057" i="1"/>
  <c r="I1322" i="1"/>
  <c r="I1324" i="1"/>
  <c r="I1326" i="1"/>
  <c r="I1333" i="1"/>
  <c r="C1322" i="1"/>
  <c r="C1324" i="1"/>
  <c r="C1326" i="1"/>
  <c r="C1333" i="1"/>
  <c r="J38" i="6"/>
  <c r="J85" i="9"/>
  <c r="J88" i="9"/>
  <c r="J90" i="9"/>
  <c r="C88" i="9"/>
  <c r="C90" i="9"/>
  <c r="D139" i="6"/>
  <c r="D141" i="6"/>
  <c r="G41" i="2"/>
  <c r="G103" i="2"/>
  <c r="G105" i="2"/>
  <c r="G126" i="2"/>
  <c r="G129" i="2"/>
  <c r="G131" i="2"/>
  <c r="C103" i="2"/>
  <c r="C105" i="2"/>
  <c r="C126" i="2"/>
  <c r="C129" i="2"/>
  <c r="C131" i="2"/>
  <c r="D1322" i="1"/>
  <c r="D1324" i="1"/>
  <c r="D1326" i="1"/>
  <c r="D1333" i="1"/>
  <c r="G1322" i="1"/>
  <c r="G1324" i="1"/>
  <c r="G1326" i="1"/>
  <c r="G1333" i="1"/>
  <c r="G1218" i="1"/>
  <c r="G1220" i="1"/>
  <c r="G1379" i="1"/>
  <c r="F1427" i="1"/>
  <c r="F1429" i="1"/>
  <c r="F1431" i="1"/>
  <c r="F1438" i="1"/>
  <c r="G1349" i="1"/>
  <c r="G1351" i="1"/>
  <c r="L919" i="1"/>
  <c r="L921" i="1"/>
  <c r="F8" i="18"/>
  <c r="K919" i="1"/>
  <c r="K921" i="1"/>
  <c r="D8" i="18"/>
  <c r="I919" i="1"/>
  <c r="I921" i="1"/>
  <c r="G919" i="1"/>
  <c r="F919" i="1"/>
  <c r="E919" i="1"/>
  <c r="D919" i="1"/>
  <c r="C919" i="1"/>
  <c r="C921" i="1"/>
  <c r="I900" i="1"/>
  <c r="D900" i="1"/>
  <c r="E900" i="1"/>
  <c r="F900" i="1"/>
  <c r="G900" i="1"/>
  <c r="C900" i="1"/>
  <c r="I892" i="1"/>
  <c r="D892" i="1"/>
  <c r="E892" i="1"/>
  <c r="F892" i="1"/>
  <c r="G892" i="1"/>
  <c r="C892" i="1"/>
  <c r="I886" i="1"/>
  <c r="D886" i="1"/>
  <c r="E886" i="1"/>
  <c r="F886" i="1"/>
  <c r="G886" i="1"/>
  <c r="C886" i="1"/>
  <c r="I880" i="1"/>
  <c r="D880" i="1"/>
  <c r="E880" i="1"/>
  <c r="F880" i="1"/>
  <c r="G880" i="1"/>
  <c r="C880" i="1"/>
  <c r="I872" i="1"/>
  <c r="D872" i="1"/>
  <c r="E872" i="1"/>
  <c r="F872" i="1"/>
  <c r="G872" i="1"/>
  <c r="C872" i="1"/>
  <c r="K860" i="1"/>
  <c r="I860" i="1"/>
  <c r="G860" i="1"/>
  <c r="D860" i="1"/>
  <c r="E860" i="1"/>
  <c r="F860" i="1"/>
  <c r="C860" i="1"/>
  <c r="L854" i="1"/>
  <c r="K854" i="1"/>
  <c r="I854" i="1"/>
  <c r="G852" i="1"/>
  <c r="G851" i="1"/>
  <c r="G850" i="1"/>
  <c r="D854" i="1"/>
  <c r="E854" i="1"/>
  <c r="F854" i="1"/>
  <c r="C854" i="1"/>
  <c r="I844" i="1"/>
  <c r="I846" i="1"/>
  <c r="G820" i="1"/>
  <c r="G61" i="1"/>
  <c r="G821" i="1"/>
  <c r="G65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5" i="1"/>
  <c r="G836" i="1"/>
  <c r="G837" i="1"/>
  <c r="G838" i="1"/>
  <c r="G839" i="1"/>
  <c r="G840" i="1"/>
  <c r="G841" i="1"/>
  <c r="G842" i="1"/>
  <c r="G819" i="1"/>
  <c r="G57" i="1"/>
  <c r="D844" i="1"/>
  <c r="D846" i="1"/>
  <c r="E844" i="1"/>
  <c r="E846" i="1"/>
  <c r="F844" i="1"/>
  <c r="F846" i="1"/>
  <c r="C844" i="1"/>
  <c r="C846" i="1"/>
  <c r="I810" i="1"/>
  <c r="G808" i="1"/>
  <c r="G807" i="1"/>
  <c r="G806" i="1"/>
  <c r="G805" i="1"/>
  <c r="G804" i="1"/>
  <c r="D810" i="1"/>
  <c r="E810" i="1"/>
  <c r="F810" i="1"/>
  <c r="C810" i="1"/>
  <c r="I800" i="1"/>
  <c r="K792" i="1"/>
  <c r="L792" i="1"/>
  <c r="D800" i="1"/>
  <c r="E800" i="1"/>
  <c r="F800" i="1"/>
  <c r="C800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85" i="1"/>
  <c r="I758" i="1"/>
  <c r="I760" i="1"/>
  <c r="D758" i="1"/>
  <c r="D760" i="1"/>
  <c r="E758" i="1"/>
  <c r="E760" i="1"/>
  <c r="F758" i="1"/>
  <c r="F760" i="1"/>
  <c r="G758" i="1"/>
  <c r="G760" i="1"/>
  <c r="C758" i="1"/>
  <c r="C760" i="1"/>
  <c r="I740" i="1"/>
  <c r="G737" i="1"/>
  <c r="G738" i="1"/>
  <c r="G736" i="1"/>
  <c r="D740" i="1"/>
  <c r="E740" i="1"/>
  <c r="F740" i="1"/>
  <c r="C740" i="1"/>
  <c r="I732" i="1"/>
  <c r="K728" i="1"/>
  <c r="K729" i="1"/>
  <c r="L729" i="1"/>
  <c r="D732" i="1"/>
  <c r="E732" i="1"/>
  <c r="F732" i="1"/>
  <c r="G732" i="1"/>
  <c r="C732" i="1"/>
  <c r="I721" i="1"/>
  <c r="K713" i="1"/>
  <c r="L713" i="1"/>
  <c r="K714" i="1"/>
  <c r="L714" i="1"/>
  <c r="K715" i="1"/>
  <c r="L715" i="1"/>
  <c r="K717" i="1"/>
  <c r="L717" i="1"/>
  <c r="D721" i="1"/>
  <c r="E721" i="1"/>
  <c r="F721" i="1"/>
  <c r="C721" i="1"/>
  <c r="G710" i="1"/>
  <c r="G711" i="1"/>
  <c r="G712" i="1"/>
  <c r="G713" i="1"/>
  <c r="G714" i="1"/>
  <c r="G715" i="1"/>
  <c r="G716" i="1"/>
  <c r="G717" i="1"/>
  <c r="G718" i="1"/>
  <c r="G709" i="1"/>
  <c r="L696" i="1"/>
  <c r="L698" i="1"/>
  <c r="K696" i="1"/>
  <c r="K698" i="1"/>
  <c r="I696" i="1"/>
  <c r="I698" i="1"/>
  <c r="D696" i="1"/>
  <c r="D698" i="1"/>
  <c r="E696" i="1"/>
  <c r="E698" i="1"/>
  <c r="F696" i="1"/>
  <c r="F698" i="1"/>
  <c r="G696" i="1"/>
  <c r="G698" i="1"/>
  <c r="C696" i="1"/>
  <c r="C698" i="1"/>
  <c r="L620" i="1"/>
  <c r="F5" i="18"/>
  <c r="K620" i="1"/>
  <c r="D5" i="18"/>
  <c r="I618" i="1"/>
  <c r="I620" i="1"/>
  <c r="D620" i="1"/>
  <c r="E620" i="1"/>
  <c r="F620" i="1"/>
  <c r="G620" i="1"/>
  <c r="C620" i="1"/>
  <c r="I594" i="1"/>
  <c r="K262" i="1"/>
  <c r="D594" i="1"/>
  <c r="E594" i="1"/>
  <c r="F594" i="1"/>
  <c r="G594" i="1"/>
  <c r="C594" i="1"/>
  <c r="I584" i="1"/>
  <c r="D584" i="1"/>
  <c r="E584" i="1"/>
  <c r="F584" i="1"/>
  <c r="G584" i="1"/>
  <c r="C584" i="1"/>
  <c r="L578" i="1"/>
  <c r="K578" i="1"/>
  <c r="I578" i="1"/>
  <c r="D578" i="1"/>
  <c r="E578" i="1"/>
  <c r="F578" i="1"/>
  <c r="G578" i="1"/>
  <c r="C578" i="1"/>
  <c r="L86" i="6"/>
  <c r="L1437" i="1"/>
  <c r="L1440" i="1"/>
  <c r="L1442" i="1"/>
  <c r="H12" i="16"/>
  <c r="K38" i="6"/>
  <c r="K1437" i="1"/>
  <c r="K1440" i="1"/>
  <c r="K1442" i="1"/>
  <c r="F12" i="16"/>
  <c r="D10" i="17"/>
  <c r="K66" i="3"/>
  <c r="K68" i="3"/>
  <c r="D8" i="16"/>
  <c r="J207" i="1"/>
  <c r="J209" i="1"/>
  <c r="J297" i="1"/>
  <c r="J300" i="1"/>
  <c r="J302" i="1"/>
  <c r="K39" i="11"/>
  <c r="K88" i="2"/>
  <c r="J457" i="1"/>
  <c r="J459" i="1"/>
  <c r="L442" i="1"/>
  <c r="L168" i="1"/>
  <c r="L86" i="2"/>
  <c r="K41" i="7"/>
  <c r="L39" i="7"/>
  <c r="L1120" i="1"/>
  <c r="L1127" i="1"/>
  <c r="K88" i="7"/>
  <c r="K90" i="7"/>
  <c r="K111" i="7"/>
  <c r="K114" i="7"/>
  <c r="K116" i="7"/>
  <c r="L1135" i="1"/>
  <c r="L65" i="7"/>
  <c r="L67" i="7"/>
  <c r="L1098" i="1"/>
  <c r="L28" i="7"/>
  <c r="L41" i="7"/>
  <c r="L88" i="7"/>
  <c r="L90" i="7"/>
  <c r="L111" i="7"/>
  <c r="L114" i="7"/>
  <c r="L116" i="7"/>
  <c r="C1056" i="1"/>
  <c r="B9" i="16"/>
  <c r="C1332" i="1"/>
  <c r="C1335" i="1"/>
  <c r="C1337" i="1"/>
  <c r="B11" i="16"/>
  <c r="C1437" i="1"/>
  <c r="C1440" i="1"/>
  <c r="C1442" i="1"/>
  <c r="B12" i="16"/>
  <c r="L531" i="1"/>
  <c r="L35" i="3"/>
  <c r="L25" i="3"/>
  <c r="L516" i="1"/>
  <c r="J106" i="3"/>
  <c r="J108" i="3"/>
  <c r="L545" i="1"/>
  <c r="L62" i="3"/>
  <c r="L64" i="3"/>
  <c r="J139" i="11"/>
  <c r="J141" i="11"/>
  <c r="K1275" i="1"/>
  <c r="G1392" i="1"/>
  <c r="G1407" i="1"/>
  <c r="G1409" i="1"/>
  <c r="G1437" i="1"/>
  <c r="G1440" i="1"/>
  <c r="G1442" i="1"/>
  <c r="L102" i="1"/>
  <c r="K102" i="1"/>
  <c r="K144" i="1"/>
  <c r="L85" i="1"/>
  <c r="L109" i="1"/>
  <c r="L144" i="1"/>
  <c r="K1297" i="1"/>
  <c r="K179" i="1"/>
  <c r="K85" i="1"/>
  <c r="K109" i="1"/>
  <c r="L449" i="1"/>
  <c r="L101" i="2"/>
  <c r="K455" i="1"/>
  <c r="L117" i="2"/>
  <c r="L119" i="2"/>
  <c r="L121" i="2"/>
  <c r="L123" i="2"/>
  <c r="L127" i="2"/>
  <c r="K41" i="2"/>
  <c r="L390" i="1"/>
  <c r="L39" i="2"/>
  <c r="L373" i="1"/>
  <c r="L27" i="2"/>
  <c r="L430" i="1"/>
  <c r="L152" i="1"/>
  <c r="L81" i="2"/>
  <c r="L88" i="2"/>
  <c r="K40" i="8"/>
  <c r="K64" i="8"/>
  <c r="K66" i="8"/>
  <c r="K97" i="8"/>
  <c r="K266" i="1"/>
  <c r="K1320" i="1"/>
  <c r="K87" i="8"/>
  <c r="K89" i="8"/>
  <c r="K91" i="8"/>
  <c r="K98" i="8"/>
  <c r="L1314" i="1"/>
  <c r="L85" i="8"/>
  <c r="L1307" i="1"/>
  <c r="L75" i="8"/>
  <c r="L87" i="8"/>
  <c r="L89" i="8"/>
  <c r="L91" i="8"/>
  <c r="L98" i="8"/>
  <c r="K220" i="1"/>
  <c r="K224" i="1"/>
  <c r="K1310" i="1"/>
  <c r="L1292" i="1"/>
  <c r="L62" i="8"/>
  <c r="L1245" i="1"/>
  <c r="L1262" i="1"/>
  <c r="L27" i="8"/>
  <c r="L1266" i="1"/>
  <c r="L1273" i="1"/>
  <c r="L38" i="8"/>
  <c r="K79" i="11"/>
  <c r="K81" i="11"/>
  <c r="L124" i="11"/>
  <c r="L126" i="11"/>
  <c r="L128" i="11"/>
  <c r="L130" i="11"/>
  <c r="K957" i="1"/>
  <c r="L994" i="1"/>
  <c r="L77" i="11"/>
  <c r="L950" i="1"/>
  <c r="L957" i="1"/>
  <c r="L37" i="11"/>
  <c r="K987" i="1"/>
  <c r="K989" i="1"/>
  <c r="L965" i="1"/>
  <c r="L987" i="1"/>
  <c r="L989" i="1"/>
  <c r="L67" i="11"/>
  <c r="L69" i="11"/>
  <c r="K263" i="1"/>
  <c r="K1057" i="1"/>
  <c r="K997" i="1"/>
  <c r="L26" i="11"/>
  <c r="L39" i="11"/>
  <c r="L931" i="1"/>
  <c r="L946" i="1"/>
  <c r="K946" i="1"/>
  <c r="D1440" i="1"/>
  <c r="D1442" i="1"/>
  <c r="K265" i="1"/>
  <c r="K264" i="1"/>
  <c r="K88" i="6"/>
  <c r="K90" i="6"/>
  <c r="K136" i="6"/>
  <c r="K139" i="6"/>
  <c r="K141" i="6"/>
  <c r="L804" i="1"/>
  <c r="L810" i="1"/>
  <c r="L36" i="6"/>
  <c r="L819" i="1"/>
  <c r="L57" i="1"/>
  <c r="L70" i="6"/>
  <c r="L72" i="6"/>
  <c r="J90" i="6"/>
  <c r="J136" i="6"/>
  <c r="J139" i="6"/>
  <c r="J141" i="6"/>
  <c r="L26" i="6"/>
  <c r="L38" i="6"/>
  <c r="L800" i="1"/>
  <c r="I90" i="6"/>
  <c r="I136" i="6"/>
  <c r="I139" i="6"/>
  <c r="I141" i="6"/>
  <c r="F812" i="1"/>
  <c r="F862" i="1"/>
  <c r="F864" i="1"/>
  <c r="F910" i="1"/>
  <c r="I812" i="1"/>
  <c r="I862" i="1"/>
  <c r="I864" i="1"/>
  <c r="I910" i="1"/>
  <c r="E812" i="1"/>
  <c r="E862" i="1"/>
  <c r="E864" i="1"/>
  <c r="E910" i="1"/>
  <c r="K810" i="1"/>
  <c r="D812" i="1"/>
  <c r="D862" i="1"/>
  <c r="D864" i="1"/>
  <c r="D910" i="1"/>
  <c r="C812" i="1"/>
  <c r="C862" i="1"/>
  <c r="C864" i="1"/>
  <c r="K800" i="1"/>
  <c r="C1059" i="1"/>
  <c r="C1061" i="1"/>
  <c r="K718" i="1"/>
  <c r="K737" i="1"/>
  <c r="K732" i="1"/>
  <c r="K736" i="1"/>
  <c r="L732" i="1"/>
  <c r="K738" i="1"/>
  <c r="L262" i="1"/>
  <c r="K256" i="1"/>
  <c r="K258" i="1"/>
  <c r="D1059" i="1"/>
  <c r="D1061" i="1"/>
  <c r="E1440" i="1"/>
  <c r="E1442" i="1"/>
  <c r="E1335" i="1"/>
  <c r="E1337" i="1"/>
  <c r="G959" i="1"/>
  <c r="G999" i="1"/>
  <c r="G1001" i="1"/>
  <c r="G1056" i="1"/>
  <c r="G1059" i="1"/>
  <c r="G1061" i="1"/>
  <c r="F1335" i="1"/>
  <c r="F1337" i="1"/>
  <c r="D1335" i="1"/>
  <c r="D1337" i="1"/>
  <c r="E1059" i="1"/>
  <c r="E1061" i="1"/>
  <c r="I1440" i="1"/>
  <c r="I1442" i="1"/>
  <c r="I1059" i="1"/>
  <c r="I1061" i="1"/>
  <c r="I1335" i="1"/>
  <c r="I1337" i="1"/>
  <c r="D9" i="16"/>
  <c r="F1440" i="1"/>
  <c r="F1442" i="1"/>
  <c r="G1275" i="1"/>
  <c r="G1299" i="1"/>
  <c r="G1301" i="1"/>
  <c r="G1332" i="1"/>
  <c r="G1335" i="1"/>
  <c r="G1337" i="1"/>
  <c r="F596" i="1"/>
  <c r="F598" i="1"/>
  <c r="F600" i="1"/>
  <c r="F604" i="1"/>
  <c r="I596" i="1"/>
  <c r="I598" i="1"/>
  <c r="I600" i="1"/>
  <c r="I604" i="1"/>
  <c r="G854" i="1"/>
  <c r="I902" i="1"/>
  <c r="I904" i="1"/>
  <c r="I906" i="1"/>
  <c r="I911" i="1"/>
  <c r="F742" i="1"/>
  <c r="F762" i="1"/>
  <c r="F765" i="1"/>
  <c r="F769" i="1"/>
  <c r="F772" i="1"/>
  <c r="F774" i="1"/>
  <c r="I742" i="1"/>
  <c r="I762" i="1"/>
  <c r="I765" i="1"/>
  <c r="I769" i="1"/>
  <c r="I772" i="1"/>
  <c r="I774" i="1"/>
  <c r="K911" i="1"/>
  <c r="F902" i="1"/>
  <c r="F904" i="1"/>
  <c r="F906" i="1"/>
  <c r="F911" i="1"/>
  <c r="G902" i="1"/>
  <c r="G904" i="1"/>
  <c r="G906" i="1"/>
  <c r="G911" i="1"/>
  <c r="G596" i="1"/>
  <c r="G598" i="1"/>
  <c r="G600" i="1"/>
  <c r="G604" i="1"/>
  <c r="C742" i="1"/>
  <c r="C762" i="1"/>
  <c r="C765" i="1"/>
  <c r="C902" i="1"/>
  <c r="C904" i="1"/>
  <c r="C906" i="1"/>
  <c r="C911" i="1"/>
  <c r="D902" i="1"/>
  <c r="D904" i="1"/>
  <c r="D906" i="1"/>
  <c r="D911" i="1"/>
  <c r="L911" i="1"/>
  <c r="E902" i="1"/>
  <c r="E904" i="1"/>
  <c r="E906" i="1"/>
  <c r="E911" i="1"/>
  <c r="F1059" i="1"/>
  <c r="F1061" i="1"/>
  <c r="D742" i="1"/>
  <c r="D762" i="1"/>
  <c r="D765" i="1"/>
  <c r="D769" i="1"/>
  <c r="D772" i="1"/>
  <c r="D774" i="1"/>
  <c r="E742" i="1"/>
  <c r="E762" i="1"/>
  <c r="E765" i="1"/>
  <c r="E769" i="1"/>
  <c r="E772" i="1"/>
  <c r="E774" i="1"/>
  <c r="G810" i="1"/>
  <c r="E596" i="1"/>
  <c r="E598" i="1"/>
  <c r="E600" i="1"/>
  <c r="E604" i="1"/>
  <c r="C596" i="1"/>
  <c r="C598" i="1"/>
  <c r="C600" i="1"/>
  <c r="C604" i="1"/>
  <c r="D596" i="1"/>
  <c r="D598" i="1"/>
  <c r="D600" i="1"/>
  <c r="D604" i="1"/>
  <c r="G740" i="1"/>
  <c r="G800" i="1"/>
  <c r="G844" i="1"/>
  <c r="G846" i="1"/>
  <c r="G721" i="1"/>
  <c r="I564" i="1"/>
  <c r="I566" i="1"/>
  <c r="D564" i="1"/>
  <c r="D566" i="1"/>
  <c r="E564" i="1"/>
  <c r="E566" i="1"/>
  <c r="F564" i="1"/>
  <c r="F566" i="1"/>
  <c r="C564" i="1"/>
  <c r="C566" i="1"/>
  <c r="G546" i="1"/>
  <c r="G63" i="1"/>
  <c r="G547" i="1"/>
  <c r="G548" i="1"/>
  <c r="G549" i="1"/>
  <c r="G550" i="1"/>
  <c r="G551" i="1"/>
  <c r="G552" i="1"/>
  <c r="G553" i="1"/>
  <c r="G554" i="1"/>
  <c r="G557" i="1"/>
  <c r="G558" i="1"/>
  <c r="G561" i="1"/>
  <c r="G562" i="1"/>
  <c r="G545" i="1"/>
  <c r="I537" i="1"/>
  <c r="D537" i="1"/>
  <c r="E537" i="1"/>
  <c r="F537" i="1"/>
  <c r="C537" i="1"/>
  <c r="G532" i="1"/>
  <c r="G533" i="1"/>
  <c r="G534" i="1"/>
  <c r="G535" i="1"/>
  <c r="G531" i="1"/>
  <c r="I527" i="1"/>
  <c r="D527" i="1"/>
  <c r="E527" i="1"/>
  <c r="F527" i="1"/>
  <c r="C527" i="1"/>
  <c r="L520" i="1"/>
  <c r="L524" i="1"/>
  <c r="L525" i="1"/>
  <c r="G517" i="1"/>
  <c r="G518" i="1"/>
  <c r="G519" i="1"/>
  <c r="G520" i="1"/>
  <c r="G521" i="1"/>
  <c r="G522" i="1"/>
  <c r="G523" i="1"/>
  <c r="G524" i="1"/>
  <c r="G525" i="1"/>
  <c r="G516" i="1"/>
  <c r="L504" i="1"/>
  <c r="K504" i="1"/>
  <c r="I504" i="1"/>
  <c r="G502" i="1"/>
  <c r="G504" i="1"/>
  <c r="D504" i="1"/>
  <c r="E504" i="1"/>
  <c r="F504" i="1"/>
  <c r="C504" i="1"/>
  <c r="I496" i="1"/>
  <c r="I498" i="1"/>
  <c r="L496" i="1"/>
  <c r="L498" i="1"/>
  <c r="G488" i="1"/>
  <c r="D496" i="1"/>
  <c r="D498" i="1"/>
  <c r="F496" i="1"/>
  <c r="F498" i="1"/>
  <c r="C496" i="1"/>
  <c r="C498" i="1"/>
  <c r="I444" i="1"/>
  <c r="D444" i="1"/>
  <c r="E444" i="1"/>
  <c r="F444" i="1"/>
  <c r="C444" i="1"/>
  <c r="I438" i="1"/>
  <c r="D438" i="1"/>
  <c r="E438" i="1"/>
  <c r="C438" i="1"/>
  <c r="I470" i="1"/>
  <c r="I472" i="1"/>
  <c r="I474" i="1"/>
  <c r="I476" i="1"/>
  <c r="I480" i="1"/>
  <c r="D470" i="1"/>
  <c r="D472" i="1"/>
  <c r="D474" i="1"/>
  <c r="D476" i="1"/>
  <c r="D480" i="1"/>
  <c r="E470" i="1"/>
  <c r="E472" i="1"/>
  <c r="E474" i="1"/>
  <c r="E476" i="1"/>
  <c r="E480" i="1"/>
  <c r="F470" i="1"/>
  <c r="F472" i="1"/>
  <c r="F474" i="1"/>
  <c r="F476" i="1"/>
  <c r="F480" i="1"/>
  <c r="G470" i="1"/>
  <c r="G472" i="1"/>
  <c r="G474" i="1"/>
  <c r="G476" i="1"/>
  <c r="G480" i="1"/>
  <c r="C470" i="1"/>
  <c r="C472" i="1"/>
  <c r="C474" i="1"/>
  <c r="C476" i="1"/>
  <c r="C480" i="1"/>
  <c r="I45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44" i="1"/>
  <c r="G45" i="1"/>
  <c r="G46" i="1"/>
  <c r="G47" i="1"/>
  <c r="G49" i="1"/>
  <c r="G51" i="1"/>
  <c r="G52" i="1"/>
  <c r="G53" i="1"/>
  <c r="G54" i="1"/>
  <c r="G55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9" i="1"/>
  <c r="G110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1" i="1"/>
  <c r="G202" i="1"/>
  <c r="G203" i="1"/>
  <c r="G204" i="1"/>
  <c r="G206" i="1"/>
  <c r="G208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6" i="1"/>
  <c r="G313" i="1"/>
  <c r="G320" i="1"/>
  <c r="G321" i="1"/>
  <c r="G322" i="1"/>
  <c r="G323" i="1"/>
  <c r="G324" i="1"/>
  <c r="G326" i="1"/>
  <c r="G327" i="1"/>
  <c r="G328" i="1"/>
  <c r="G329" i="1"/>
  <c r="G330" i="1"/>
  <c r="G333" i="1"/>
  <c r="G334" i="1"/>
  <c r="G343" i="1"/>
  <c r="G345" i="1"/>
  <c r="G349" i="1"/>
  <c r="G350" i="1"/>
  <c r="G351" i="1"/>
  <c r="G352" i="1"/>
  <c r="G353" i="1"/>
  <c r="G354" i="1"/>
  <c r="G356" i="1"/>
  <c r="G357" i="1"/>
  <c r="G358" i="1"/>
  <c r="G359" i="1"/>
  <c r="G363" i="1"/>
  <c r="G374" i="1"/>
  <c r="G375" i="1"/>
  <c r="G376" i="1"/>
  <c r="G377" i="1"/>
  <c r="G378" i="1"/>
  <c r="G379" i="1"/>
  <c r="G380" i="1"/>
  <c r="G381" i="1"/>
  <c r="G382" i="1"/>
  <c r="G383" i="1"/>
  <c r="G384" i="1"/>
  <c r="G391" i="1"/>
  <c r="G392" i="1"/>
  <c r="G393" i="1"/>
  <c r="G394" i="1"/>
  <c r="G397" i="1"/>
  <c r="G405" i="1"/>
  <c r="G58" i="1"/>
  <c r="G406" i="1"/>
  <c r="G60" i="1"/>
  <c r="G407" i="1"/>
  <c r="G6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1" i="1"/>
  <c r="G432" i="1"/>
  <c r="G434" i="1"/>
  <c r="G435" i="1"/>
  <c r="G436" i="1"/>
  <c r="G437" i="1"/>
  <c r="G439" i="1"/>
  <c r="G440" i="1"/>
  <c r="G442" i="1"/>
  <c r="G443" i="1"/>
  <c r="G445" i="1"/>
  <c r="G447" i="1"/>
  <c r="G448" i="1"/>
  <c r="G449" i="1"/>
  <c r="G450" i="1"/>
  <c r="G451" i="1"/>
  <c r="G452" i="1"/>
  <c r="G453" i="1"/>
  <c r="D455" i="1"/>
  <c r="E455" i="1"/>
  <c r="F455" i="1"/>
  <c r="C455" i="1"/>
  <c r="F404" i="1"/>
  <c r="F390" i="1"/>
  <c r="G390" i="1"/>
  <c r="L860" i="1"/>
  <c r="K103" i="2"/>
  <c r="K105" i="2"/>
  <c r="K126" i="2"/>
  <c r="K129" i="2"/>
  <c r="K131" i="2"/>
  <c r="E5" i="17"/>
  <c r="E8" i="17"/>
  <c r="E7" i="17"/>
  <c r="E6" i="17"/>
  <c r="E4" i="17"/>
  <c r="J479" i="1"/>
  <c r="J482" i="1"/>
  <c r="J484" i="1"/>
  <c r="D4" i="16"/>
  <c r="L506" i="1"/>
  <c r="F4" i="18"/>
  <c r="F14" i="18"/>
  <c r="G344" i="1"/>
  <c r="K1299" i="1"/>
  <c r="K1301" i="1"/>
  <c r="I506" i="1"/>
  <c r="C769" i="1"/>
  <c r="C772" i="1"/>
  <c r="C774" i="1"/>
  <c r="B7" i="16"/>
  <c r="G361" i="1"/>
  <c r="F19" i="15"/>
  <c r="F21" i="15"/>
  <c r="L37" i="3"/>
  <c r="L66" i="3"/>
  <c r="L68" i="3"/>
  <c r="C910" i="1"/>
  <c r="C913" i="1"/>
  <c r="C915" i="1"/>
  <c r="B8" i="16"/>
  <c r="K758" i="1"/>
  <c r="K760" i="1"/>
  <c r="L1297" i="1"/>
  <c r="L179" i="1"/>
  <c r="K436" i="1"/>
  <c r="K561" i="1"/>
  <c r="K549" i="1"/>
  <c r="L997" i="1"/>
  <c r="L177" i="1"/>
  <c r="L137" i="1"/>
  <c r="K137" i="1"/>
  <c r="L105" i="1"/>
  <c r="K105" i="1"/>
  <c r="L123" i="1"/>
  <c r="K123" i="1"/>
  <c r="L124" i="1"/>
  <c r="K124" i="1"/>
  <c r="K562" i="1"/>
  <c r="K554" i="1"/>
  <c r="K435" i="1"/>
  <c r="K558" i="1"/>
  <c r="K548" i="1"/>
  <c r="L455" i="1"/>
  <c r="L176" i="1"/>
  <c r="K434" i="1"/>
  <c r="K557" i="1"/>
  <c r="K551" i="1"/>
  <c r="L106" i="1"/>
  <c r="K106" i="1"/>
  <c r="K101" i="1"/>
  <c r="L125" i="1"/>
  <c r="K125" i="1"/>
  <c r="K1322" i="1"/>
  <c r="K1324" i="1"/>
  <c r="K1326" i="1"/>
  <c r="K1333" i="1"/>
  <c r="L41" i="2"/>
  <c r="L103" i="2"/>
  <c r="L105" i="2"/>
  <c r="L126" i="2"/>
  <c r="L129" i="2"/>
  <c r="L131" i="2"/>
  <c r="L220" i="1"/>
  <c r="L224" i="1"/>
  <c r="L1310" i="1"/>
  <c r="L266" i="1"/>
  <c r="L1320" i="1"/>
  <c r="K100" i="8"/>
  <c r="K102" i="8"/>
  <c r="L40" i="8"/>
  <c r="L64" i="8"/>
  <c r="L66" i="8"/>
  <c r="L97" i="8"/>
  <c r="L100" i="8"/>
  <c r="L102" i="8"/>
  <c r="L1275" i="1"/>
  <c r="L959" i="1"/>
  <c r="L264" i="1"/>
  <c r="K959" i="1"/>
  <c r="K999" i="1"/>
  <c r="K1001" i="1"/>
  <c r="L79" i="11"/>
  <c r="L81" i="11"/>
  <c r="L263" i="1"/>
  <c r="L1057" i="1"/>
  <c r="L265" i="1"/>
  <c r="L280" i="1"/>
  <c r="K280" i="1"/>
  <c r="I913" i="1"/>
  <c r="I915" i="1"/>
  <c r="L88" i="6"/>
  <c r="L90" i="6"/>
  <c r="L136" i="6"/>
  <c r="L139" i="6"/>
  <c r="L141" i="6"/>
  <c r="L812" i="1"/>
  <c r="L65" i="1"/>
  <c r="K65" i="1"/>
  <c r="K812" i="1"/>
  <c r="K61" i="1"/>
  <c r="K844" i="1"/>
  <c r="K846" i="1"/>
  <c r="L738" i="1"/>
  <c r="L46" i="1"/>
  <c r="K46" i="1"/>
  <c r="L718" i="1"/>
  <c r="K25" i="1"/>
  <c r="L737" i="1"/>
  <c r="L45" i="1"/>
  <c r="K45" i="1"/>
  <c r="K721" i="1"/>
  <c r="K44" i="1"/>
  <c r="L736" i="1"/>
  <c r="K740" i="1"/>
  <c r="L256" i="1"/>
  <c r="L258" i="1"/>
  <c r="L537" i="1"/>
  <c r="K537" i="1"/>
  <c r="F539" i="1"/>
  <c r="F568" i="1"/>
  <c r="F570" i="1"/>
  <c r="E539" i="1"/>
  <c r="E568" i="1"/>
  <c r="E570" i="1"/>
  <c r="C539" i="1"/>
  <c r="C568" i="1"/>
  <c r="C570" i="1"/>
  <c r="D539" i="1"/>
  <c r="D568" i="1"/>
  <c r="D570" i="1"/>
  <c r="K496" i="1"/>
  <c r="K498" i="1"/>
  <c r="K506" i="1"/>
  <c r="D4" i="18"/>
  <c r="K527" i="1"/>
  <c r="F913" i="1"/>
  <c r="F915" i="1"/>
  <c r="D913" i="1"/>
  <c r="D915" i="1"/>
  <c r="E913" i="1"/>
  <c r="E915" i="1"/>
  <c r="I539" i="1"/>
  <c r="I568" i="1"/>
  <c r="I570" i="1"/>
  <c r="I603" i="1"/>
  <c r="I606" i="1"/>
  <c r="I608" i="1"/>
  <c r="E446" i="1"/>
  <c r="F438" i="1"/>
  <c r="F446" i="1"/>
  <c r="F56" i="1"/>
  <c r="G742" i="1"/>
  <c r="G762" i="1"/>
  <c r="G765" i="1"/>
  <c r="G769" i="1"/>
  <c r="G772" i="1"/>
  <c r="G774" i="1"/>
  <c r="I446" i="1"/>
  <c r="D446" i="1"/>
  <c r="C446" i="1"/>
  <c r="G812" i="1"/>
  <c r="G862" i="1"/>
  <c r="G864" i="1"/>
  <c r="G910" i="1"/>
  <c r="G913" i="1"/>
  <c r="G915" i="1"/>
  <c r="G444" i="1"/>
  <c r="G537" i="1"/>
  <c r="G404" i="1"/>
  <c r="G527" i="1"/>
  <c r="G564" i="1"/>
  <c r="G566" i="1"/>
  <c r="G455" i="1"/>
  <c r="L1187" i="1"/>
  <c r="L1189" i="1"/>
  <c r="L1191" i="1"/>
  <c r="L1193" i="1"/>
  <c r="K1187" i="1"/>
  <c r="K1189" i="1"/>
  <c r="K1191" i="1"/>
  <c r="K1193" i="1"/>
  <c r="I1187" i="1"/>
  <c r="I1189" i="1"/>
  <c r="I1191" i="1"/>
  <c r="I1193" i="1"/>
  <c r="I1200" i="1"/>
  <c r="D1187" i="1"/>
  <c r="D1189" i="1"/>
  <c r="D1191" i="1"/>
  <c r="D1193" i="1"/>
  <c r="D1200" i="1"/>
  <c r="E1187" i="1"/>
  <c r="E1189" i="1"/>
  <c r="E1191" i="1"/>
  <c r="E1193" i="1"/>
  <c r="E1200" i="1"/>
  <c r="F1187" i="1"/>
  <c r="F1189" i="1"/>
  <c r="F1191" i="1"/>
  <c r="F1193" i="1"/>
  <c r="F1200" i="1"/>
  <c r="G1187" i="1"/>
  <c r="G1189" i="1"/>
  <c r="G1191" i="1"/>
  <c r="G1193" i="1"/>
  <c r="G1200" i="1"/>
  <c r="C1187" i="1"/>
  <c r="C1189" i="1"/>
  <c r="C1191" i="1"/>
  <c r="C1193" i="1"/>
  <c r="C1200" i="1"/>
  <c r="L1174" i="1"/>
  <c r="K1174" i="1"/>
  <c r="I1174" i="1"/>
  <c r="D1174" i="1"/>
  <c r="E1174" i="1"/>
  <c r="F1174" i="1"/>
  <c r="G1174" i="1"/>
  <c r="C1174" i="1"/>
  <c r="L1164" i="1"/>
  <c r="K1164" i="1"/>
  <c r="I1164" i="1"/>
  <c r="G1162" i="1"/>
  <c r="G1161" i="1"/>
  <c r="G1160" i="1"/>
  <c r="G1159" i="1"/>
  <c r="D1164" i="1"/>
  <c r="E1164" i="1"/>
  <c r="F1164" i="1"/>
  <c r="C1164" i="1"/>
  <c r="L1153" i="1"/>
  <c r="L1155" i="1"/>
  <c r="K1153" i="1"/>
  <c r="K1155" i="1"/>
  <c r="I1153" i="1"/>
  <c r="I1155" i="1"/>
  <c r="D1153" i="1"/>
  <c r="D1155" i="1"/>
  <c r="E1153" i="1"/>
  <c r="E1155" i="1"/>
  <c r="F1153" i="1"/>
  <c r="F1155" i="1"/>
  <c r="C1153" i="1"/>
  <c r="C115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35" i="1"/>
  <c r="G1127" i="1"/>
  <c r="G1125" i="1"/>
  <c r="G1124" i="1"/>
  <c r="G1123" i="1"/>
  <c r="G1122" i="1"/>
  <c r="G1121" i="1"/>
  <c r="G1120" i="1"/>
  <c r="L1116" i="1"/>
  <c r="L1129" i="1"/>
  <c r="K1116" i="1"/>
  <c r="I1116" i="1"/>
  <c r="I1129" i="1"/>
  <c r="D1116" i="1"/>
  <c r="D1129" i="1"/>
  <c r="E1116" i="1"/>
  <c r="E1129" i="1"/>
  <c r="F1116" i="1"/>
  <c r="F1129" i="1"/>
  <c r="C1116" i="1"/>
  <c r="C1129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098" i="1"/>
  <c r="I673" i="1"/>
  <c r="I675" i="1"/>
  <c r="K670" i="1"/>
  <c r="L670" i="1"/>
  <c r="K671" i="1"/>
  <c r="L671" i="1"/>
  <c r="K660" i="1"/>
  <c r="L660" i="1"/>
  <c r="D673" i="1"/>
  <c r="D675" i="1"/>
  <c r="E673" i="1"/>
  <c r="E675" i="1"/>
  <c r="F673" i="1"/>
  <c r="F675" i="1"/>
  <c r="C673" i="1"/>
  <c r="C675" i="1"/>
  <c r="G661" i="1"/>
  <c r="G59" i="1"/>
  <c r="G662" i="1"/>
  <c r="G62" i="1"/>
  <c r="G663" i="1"/>
  <c r="G64" i="1"/>
  <c r="G664" i="1"/>
  <c r="G665" i="1"/>
  <c r="G666" i="1"/>
  <c r="G667" i="1"/>
  <c r="G669" i="1"/>
  <c r="G670" i="1"/>
  <c r="G671" i="1"/>
  <c r="G660" i="1"/>
  <c r="K649" i="1"/>
  <c r="L649" i="1"/>
  <c r="K648" i="1"/>
  <c r="L648" i="1"/>
  <c r="K647" i="1"/>
  <c r="L647" i="1"/>
  <c r="K646" i="1"/>
  <c r="L646" i="1"/>
  <c r="I652" i="1"/>
  <c r="G650" i="1"/>
  <c r="G649" i="1"/>
  <c r="G648" i="1"/>
  <c r="G647" i="1"/>
  <c r="G646" i="1"/>
  <c r="D652" i="1"/>
  <c r="E652" i="1"/>
  <c r="F652" i="1"/>
  <c r="C652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30" i="1"/>
  <c r="L630" i="1"/>
  <c r="I642" i="1"/>
  <c r="D642" i="1"/>
  <c r="E642" i="1"/>
  <c r="F642" i="1"/>
  <c r="C642" i="1"/>
  <c r="G631" i="1"/>
  <c r="G632" i="1"/>
  <c r="G633" i="1"/>
  <c r="G634" i="1"/>
  <c r="G635" i="1"/>
  <c r="G636" i="1"/>
  <c r="G637" i="1"/>
  <c r="G638" i="1"/>
  <c r="G639" i="1"/>
  <c r="G640" i="1"/>
  <c r="G630" i="1"/>
  <c r="F373" i="1"/>
  <c r="F10" i="1"/>
  <c r="F372" i="1"/>
  <c r="H390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2" i="1"/>
  <c r="H423" i="1"/>
  <c r="H424" i="1"/>
  <c r="H425" i="1"/>
  <c r="H426" i="1"/>
  <c r="H427" i="1"/>
  <c r="H428" i="1"/>
  <c r="H429" i="1"/>
  <c r="H430" i="1"/>
  <c r="H431" i="1"/>
  <c r="H432" i="1"/>
  <c r="H434" i="1"/>
  <c r="H435" i="1"/>
  <c r="H436" i="1"/>
  <c r="H405" i="1"/>
  <c r="H406" i="1"/>
  <c r="H407" i="1"/>
  <c r="H404" i="1"/>
  <c r="I396" i="1"/>
  <c r="D396" i="1"/>
  <c r="E396" i="1"/>
  <c r="F396" i="1"/>
  <c r="C396" i="1"/>
  <c r="K376" i="1"/>
  <c r="K381" i="1"/>
  <c r="K382" i="1"/>
  <c r="K383" i="1"/>
  <c r="K384" i="1"/>
  <c r="I386" i="1"/>
  <c r="D386" i="1"/>
  <c r="E386" i="1"/>
  <c r="C386" i="1"/>
  <c r="K1332" i="1"/>
  <c r="K1335" i="1"/>
  <c r="K1337" i="1"/>
  <c r="F11" i="16"/>
  <c r="K1056" i="1"/>
  <c r="K1059" i="1"/>
  <c r="K1061" i="1"/>
  <c r="F9" i="16"/>
  <c r="G4" i="18"/>
  <c r="F16" i="18"/>
  <c r="G6" i="18"/>
  <c r="G14" i="18"/>
  <c r="G11" i="18"/>
  <c r="G10" i="18"/>
  <c r="G5" i="18"/>
  <c r="G9" i="18"/>
  <c r="G8" i="18"/>
  <c r="D14" i="18"/>
  <c r="E4" i="18"/>
  <c r="J1200" i="1"/>
  <c r="K1200" i="1"/>
  <c r="L1299" i="1"/>
  <c r="L1301" i="1"/>
  <c r="C603" i="1"/>
  <c r="C606" i="1"/>
  <c r="C608" i="1"/>
  <c r="B5" i="16"/>
  <c r="K666" i="1"/>
  <c r="L999" i="1"/>
  <c r="L1001" i="1"/>
  <c r="K564" i="1"/>
  <c r="K566" i="1"/>
  <c r="K665" i="1"/>
  <c r="L101" i="1"/>
  <c r="L758" i="1"/>
  <c r="L760" i="1"/>
  <c r="L551" i="1"/>
  <c r="L93" i="1"/>
  <c r="K93" i="1"/>
  <c r="L434" i="1"/>
  <c r="L156" i="1"/>
  <c r="K156" i="1"/>
  <c r="L548" i="1"/>
  <c r="K87" i="1"/>
  <c r="L435" i="1"/>
  <c r="L160" i="1"/>
  <c r="K160" i="1"/>
  <c r="L562" i="1"/>
  <c r="L149" i="1"/>
  <c r="K149" i="1"/>
  <c r="L549" i="1"/>
  <c r="L89" i="1"/>
  <c r="K89" i="1"/>
  <c r="L436" i="1"/>
  <c r="L161" i="1"/>
  <c r="K161" i="1"/>
  <c r="K669" i="1"/>
  <c r="K664" i="1"/>
  <c r="K667" i="1"/>
  <c r="L557" i="1"/>
  <c r="L126" i="1"/>
  <c r="K126" i="1"/>
  <c r="L558" i="1"/>
  <c r="L131" i="1"/>
  <c r="K131" i="1"/>
  <c r="L554" i="1"/>
  <c r="L98" i="1"/>
  <c r="K98" i="1"/>
  <c r="L561" i="1"/>
  <c r="L147" i="1"/>
  <c r="K147" i="1"/>
  <c r="L1322" i="1"/>
  <c r="L1324" i="1"/>
  <c r="L1326" i="1"/>
  <c r="L1333" i="1"/>
  <c r="K1129" i="1"/>
  <c r="K1176" i="1"/>
  <c r="K1178" i="1"/>
  <c r="F10" i="16"/>
  <c r="K271" i="1"/>
  <c r="K480" i="1"/>
  <c r="K604" i="1"/>
  <c r="K862" i="1"/>
  <c r="K864" i="1"/>
  <c r="L61" i="1"/>
  <c r="L844" i="1"/>
  <c r="L846" i="1"/>
  <c r="L862" i="1"/>
  <c r="L864" i="1"/>
  <c r="K742" i="1"/>
  <c r="K762" i="1"/>
  <c r="K765" i="1"/>
  <c r="L10" i="1"/>
  <c r="K10" i="1"/>
  <c r="L25" i="1"/>
  <c r="L721" i="1"/>
  <c r="L44" i="1"/>
  <c r="L48" i="1"/>
  <c r="L740" i="1"/>
  <c r="K661" i="1"/>
  <c r="L652" i="1"/>
  <c r="K663" i="1"/>
  <c r="K56" i="1"/>
  <c r="K662" i="1"/>
  <c r="L604" i="1"/>
  <c r="K652" i="1"/>
  <c r="L16" i="1"/>
  <c r="L14" i="1"/>
  <c r="K16" i="1"/>
  <c r="K642" i="1"/>
  <c r="L642" i="1"/>
  <c r="L11" i="1"/>
  <c r="K14" i="1"/>
  <c r="D603" i="1"/>
  <c r="D606" i="1"/>
  <c r="D608" i="1"/>
  <c r="K9" i="1"/>
  <c r="F603" i="1"/>
  <c r="F606" i="1"/>
  <c r="F608" i="1"/>
  <c r="E603" i="1"/>
  <c r="E606" i="1"/>
  <c r="E608" i="1"/>
  <c r="K11" i="1"/>
  <c r="K539" i="1"/>
  <c r="L9" i="1"/>
  <c r="L527" i="1"/>
  <c r="L539" i="1"/>
  <c r="L444" i="1"/>
  <c r="K444" i="1"/>
  <c r="L58" i="1"/>
  <c r="K58" i="1"/>
  <c r="K438" i="1"/>
  <c r="L60" i="1"/>
  <c r="K60" i="1"/>
  <c r="L56" i="1"/>
  <c r="D398" i="1"/>
  <c r="D457" i="1"/>
  <c r="D459" i="1"/>
  <c r="D479" i="1"/>
  <c r="D482" i="1"/>
  <c r="D484" i="1"/>
  <c r="I398" i="1"/>
  <c r="I457" i="1"/>
  <c r="I459" i="1"/>
  <c r="I479" i="1"/>
  <c r="I482" i="1"/>
  <c r="I484" i="1"/>
  <c r="D1176" i="1"/>
  <c r="D1178" i="1"/>
  <c r="D1199" i="1"/>
  <c r="D1202" i="1"/>
  <c r="D1204" i="1"/>
  <c r="C398" i="1"/>
  <c r="C457" i="1"/>
  <c r="C459" i="1"/>
  <c r="C654" i="1"/>
  <c r="C677" i="1"/>
  <c r="C679" i="1"/>
  <c r="I654" i="1"/>
  <c r="I677" i="1"/>
  <c r="I679" i="1"/>
  <c r="I685" i="1"/>
  <c r="I688" i="1"/>
  <c r="I690" i="1"/>
  <c r="L1176" i="1"/>
  <c r="L1178" i="1"/>
  <c r="H10" i="16"/>
  <c r="E654" i="1"/>
  <c r="E677" i="1"/>
  <c r="E679" i="1"/>
  <c r="E685" i="1"/>
  <c r="E688" i="1"/>
  <c r="E690" i="1"/>
  <c r="G372" i="1"/>
  <c r="G9" i="1"/>
  <c r="F9" i="1"/>
  <c r="H9" i="1"/>
  <c r="G373" i="1"/>
  <c r="G10" i="1"/>
  <c r="H10" i="1"/>
  <c r="F654" i="1"/>
  <c r="F677" i="1"/>
  <c r="F679" i="1"/>
  <c r="F685" i="1"/>
  <c r="F688" i="1"/>
  <c r="F690" i="1"/>
  <c r="G438" i="1"/>
  <c r="G446" i="1"/>
  <c r="G56" i="1"/>
  <c r="C1176" i="1"/>
  <c r="C1178" i="1"/>
  <c r="G1153" i="1"/>
  <c r="G1155" i="1"/>
  <c r="I1176" i="1"/>
  <c r="I1178" i="1"/>
  <c r="I1199" i="1"/>
  <c r="I1202" i="1"/>
  <c r="I1204" i="1"/>
  <c r="G396" i="1"/>
  <c r="D654" i="1"/>
  <c r="D677" i="1"/>
  <c r="D679" i="1"/>
  <c r="D685" i="1"/>
  <c r="D688" i="1"/>
  <c r="D690" i="1"/>
  <c r="E1176" i="1"/>
  <c r="E1178" i="1"/>
  <c r="E1199" i="1"/>
  <c r="E1202" i="1"/>
  <c r="E1204" i="1"/>
  <c r="G1164" i="1"/>
  <c r="G539" i="1"/>
  <c r="G568" i="1"/>
  <c r="G570" i="1"/>
  <c r="F1176" i="1"/>
  <c r="F1178" i="1"/>
  <c r="F1199" i="1"/>
  <c r="F1202" i="1"/>
  <c r="F1204" i="1"/>
  <c r="F386" i="1"/>
  <c r="G386" i="1"/>
  <c r="G642" i="1"/>
  <c r="G673" i="1"/>
  <c r="G675" i="1"/>
  <c r="E398" i="1"/>
  <c r="E457" i="1"/>
  <c r="G1116" i="1"/>
  <c r="G1129" i="1"/>
  <c r="G652" i="1"/>
  <c r="I13" i="15"/>
  <c r="L205" i="1"/>
  <c r="K205" i="1"/>
  <c r="I205" i="1"/>
  <c r="H13" i="15"/>
  <c r="D205" i="1"/>
  <c r="C13" i="15"/>
  <c r="E205" i="1"/>
  <c r="D13" i="15"/>
  <c r="F205" i="1"/>
  <c r="E13" i="15"/>
  <c r="C205" i="1"/>
  <c r="B13" i="15"/>
  <c r="L200" i="1"/>
  <c r="K200" i="1"/>
  <c r="I200" i="1"/>
  <c r="H11" i="15"/>
  <c r="C200" i="1"/>
  <c r="B11" i="15"/>
  <c r="D200" i="1"/>
  <c r="C11" i="15"/>
  <c r="E200" i="1"/>
  <c r="D11" i="15"/>
  <c r="F200" i="1"/>
  <c r="E11" i="15"/>
  <c r="L191" i="1"/>
  <c r="H6" i="17"/>
  <c r="K191" i="1"/>
  <c r="F6" i="17"/>
  <c r="I191" i="1"/>
  <c r="H9" i="15"/>
  <c r="D191" i="1"/>
  <c r="C9" i="15"/>
  <c r="E191" i="1"/>
  <c r="D9" i="15"/>
  <c r="F191" i="1"/>
  <c r="E9" i="15"/>
  <c r="C191" i="1"/>
  <c r="B9" i="15"/>
  <c r="L170" i="1"/>
  <c r="K170" i="1"/>
  <c r="I170" i="1"/>
  <c r="D170" i="1"/>
  <c r="E170" i="1"/>
  <c r="F170" i="1"/>
  <c r="C170" i="1"/>
  <c r="I164" i="1"/>
  <c r="D164" i="1"/>
  <c r="E164" i="1"/>
  <c r="F164" i="1"/>
  <c r="C164" i="1"/>
  <c r="K48" i="1"/>
  <c r="I48" i="1"/>
  <c r="D48" i="1"/>
  <c r="E48" i="1"/>
  <c r="F48" i="1"/>
  <c r="C48" i="1"/>
  <c r="I38" i="1"/>
  <c r="D38" i="1"/>
  <c r="E38" i="1"/>
  <c r="F38" i="1"/>
  <c r="C38" i="1"/>
  <c r="I28" i="1"/>
  <c r="D28" i="1"/>
  <c r="E28" i="1"/>
  <c r="C28" i="1"/>
  <c r="K769" i="1"/>
  <c r="K772" i="1"/>
  <c r="K774" i="1"/>
  <c r="F7" i="16"/>
  <c r="L1332" i="1"/>
  <c r="L1335" i="1"/>
  <c r="L1337" i="1"/>
  <c r="H11" i="16"/>
  <c r="K910" i="1"/>
  <c r="K913" i="1"/>
  <c r="K915" i="1"/>
  <c r="F8" i="16"/>
  <c r="L910" i="1"/>
  <c r="L913" i="1"/>
  <c r="L915" i="1"/>
  <c r="H8" i="16"/>
  <c r="L1056" i="1"/>
  <c r="L1059" i="1"/>
  <c r="L1061" i="1"/>
  <c r="H9" i="16"/>
  <c r="E6" i="18"/>
  <c r="D16" i="18"/>
  <c r="E14" i="18"/>
  <c r="E11" i="18"/>
  <c r="E10" i="18"/>
  <c r="E8" i="18"/>
  <c r="E5" i="18"/>
  <c r="E9" i="18"/>
  <c r="K654" i="1"/>
  <c r="D12" i="14"/>
  <c r="I25" i="15"/>
  <c r="C479" i="1"/>
  <c r="C482" i="1"/>
  <c r="C484" i="1"/>
  <c r="B4" i="16"/>
  <c r="C685" i="1"/>
  <c r="C688" i="1"/>
  <c r="C690" i="1"/>
  <c r="B6" i="16"/>
  <c r="C1199" i="1"/>
  <c r="B10" i="16"/>
  <c r="L666" i="1"/>
  <c r="L116" i="1"/>
  <c r="K116" i="1"/>
  <c r="K568" i="1"/>
  <c r="K570" i="1"/>
  <c r="L664" i="1"/>
  <c r="L70" i="1"/>
  <c r="K70" i="1"/>
  <c r="L667" i="1"/>
  <c r="L119" i="1"/>
  <c r="K119" i="1"/>
  <c r="L87" i="1"/>
  <c r="L564" i="1"/>
  <c r="L566" i="1"/>
  <c r="L568" i="1"/>
  <c r="L570" i="1"/>
  <c r="L669" i="1"/>
  <c r="L121" i="1"/>
  <c r="K121" i="1"/>
  <c r="L665" i="1"/>
  <c r="K99" i="1"/>
  <c r="K286" i="1"/>
  <c r="K288" i="1"/>
  <c r="K290" i="1"/>
  <c r="K292" i="1"/>
  <c r="F12" i="14"/>
  <c r="L271" i="1"/>
  <c r="L286" i="1"/>
  <c r="L288" i="1"/>
  <c r="L290" i="1"/>
  <c r="L292" i="1"/>
  <c r="H12" i="14"/>
  <c r="L480" i="1"/>
  <c r="K673" i="1"/>
  <c r="K675" i="1"/>
  <c r="K677" i="1"/>
  <c r="K679" i="1"/>
  <c r="L654" i="1"/>
  <c r="L742" i="1"/>
  <c r="L762" i="1"/>
  <c r="L765" i="1"/>
  <c r="L661" i="1"/>
  <c r="K59" i="1"/>
  <c r="L662" i="1"/>
  <c r="L62" i="1"/>
  <c r="K62" i="1"/>
  <c r="L663" i="1"/>
  <c r="L64" i="1"/>
  <c r="K64" i="1"/>
  <c r="G603" i="1"/>
  <c r="G606" i="1"/>
  <c r="G608" i="1"/>
  <c r="K396" i="1"/>
  <c r="K446" i="1"/>
  <c r="L36" i="1"/>
  <c r="K36" i="1"/>
  <c r="K32" i="1"/>
  <c r="L34" i="1"/>
  <c r="K34" i="1"/>
  <c r="L35" i="1"/>
  <c r="K35" i="1"/>
  <c r="L33" i="1"/>
  <c r="K33" i="1"/>
  <c r="L383" i="1"/>
  <c r="L24" i="1"/>
  <c r="K24" i="1"/>
  <c r="L17" i="1"/>
  <c r="K17" i="1"/>
  <c r="L381" i="1"/>
  <c r="L18" i="1"/>
  <c r="K18" i="1"/>
  <c r="L376" i="1"/>
  <c r="L13" i="1"/>
  <c r="K13" i="1"/>
  <c r="L384" i="1"/>
  <c r="L26" i="1"/>
  <c r="K26" i="1"/>
  <c r="L382" i="1"/>
  <c r="L20" i="1"/>
  <c r="K20" i="1"/>
  <c r="K12" i="1"/>
  <c r="K386" i="1"/>
  <c r="L438" i="1"/>
  <c r="L446" i="1"/>
  <c r="G170" i="1"/>
  <c r="G191" i="1"/>
  <c r="F9" i="15"/>
  <c r="G200" i="1"/>
  <c r="F11" i="15"/>
  <c r="G205" i="1"/>
  <c r="F13" i="15"/>
  <c r="F28" i="1"/>
  <c r="F40" i="1"/>
  <c r="F50" i="1"/>
  <c r="E5" i="15"/>
  <c r="F398" i="1"/>
  <c r="F457" i="1"/>
  <c r="F459" i="1"/>
  <c r="F479" i="1"/>
  <c r="F482" i="1"/>
  <c r="F484" i="1"/>
  <c r="G1176" i="1"/>
  <c r="G1178" i="1"/>
  <c r="G1199" i="1"/>
  <c r="G1202" i="1"/>
  <c r="G1204" i="1"/>
  <c r="G48" i="1"/>
  <c r="G164" i="1"/>
  <c r="G38" i="1"/>
  <c r="C40" i="1"/>
  <c r="G654" i="1"/>
  <c r="G677" i="1"/>
  <c r="G679" i="1"/>
  <c r="G685" i="1"/>
  <c r="G688" i="1"/>
  <c r="G690" i="1"/>
  <c r="E459" i="1"/>
  <c r="E479" i="1"/>
  <c r="E482" i="1"/>
  <c r="E484" i="1"/>
  <c r="D40" i="1"/>
  <c r="D50" i="1"/>
  <c r="C5" i="15"/>
  <c r="E40" i="1"/>
  <c r="E172" i="1"/>
  <c r="D7" i="15"/>
  <c r="D172" i="1"/>
  <c r="C7" i="15"/>
  <c r="I11" i="15"/>
  <c r="F172" i="1"/>
  <c r="E7" i="15"/>
  <c r="I9" i="15"/>
  <c r="C172" i="1"/>
  <c r="B7" i="15"/>
  <c r="I172" i="1"/>
  <c r="H7" i="15"/>
  <c r="I40" i="1"/>
  <c r="I50" i="1"/>
  <c r="H5" i="15"/>
  <c r="I7" i="15"/>
  <c r="L769" i="1"/>
  <c r="L772" i="1"/>
  <c r="L774" i="1"/>
  <c r="H7" i="16"/>
  <c r="K685" i="1"/>
  <c r="K688" i="1"/>
  <c r="K690" i="1"/>
  <c r="F6" i="16"/>
  <c r="K603" i="1"/>
  <c r="K606" i="1"/>
  <c r="K608" i="1"/>
  <c r="F5" i="16"/>
  <c r="L603" i="1"/>
  <c r="L606" i="1"/>
  <c r="L608" i="1"/>
  <c r="H5" i="16"/>
  <c r="C1202" i="1"/>
  <c r="C1204" i="1"/>
  <c r="J1199" i="1"/>
  <c r="J1202" i="1"/>
  <c r="J1204" i="1"/>
  <c r="E15" i="15"/>
  <c r="E23" i="15"/>
  <c r="E27" i="15"/>
  <c r="L298" i="1"/>
  <c r="K298" i="1"/>
  <c r="B14" i="16"/>
  <c r="L99" i="1"/>
  <c r="C15" i="15"/>
  <c r="C23" i="15"/>
  <c r="C27" i="15"/>
  <c r="H15" i="15"/>
  <c r="H23" i="15"/>
  <c r="H27" i="15"/>
  <c r="K398" i="1"/>
  <c r="K164" i="1"/>
  <c r="K172" i="1"/>
  <c r="F5" i="17"/>
  <c r="L59" i="1"/>
  <c r="L673" i="1"/>
  <c r="L675" i="1"/>
  <c r="L677" i="1"/>
  <c r="L679" i="1"/>
  <c r="K38" i="1"/>
  <c r="L32" i="1"/>
  <c r="L38" i="1"/>
  <c r="L396" i="1"/>
  <c r="K28" i="1"/>
  <c r="L12" i="1"/>
  <c r="L28" i="1"/>
  <c r="L386" i="1"/>
  <c r="G28" i="1"/>
  <c r="I207" i="1"/>
  <c r="I209" i="1"/>
  <c r="I297" i="1"/>
  <c r="G40" i="1"/>
  <c r="C50" i="1"/>
  <c r="G398" i="1"/>
  <c r="G457" i="1"/>
  <c r="G459" i="1"/>
  <c r="G479" i="1"/>
  <c r="G482" i="1"/>
  <c r="G484" i="1"/>
  <c r="G172" i="1"/>
  <c r="F7" i="15"/>
  <c r="E50" i="1"/>
  <c r="D5" i="15"/>
  <c r="D15" i="15"/>
  <c r="D23" i="15"/>
  <c r="D27" i="15"/>
  <c r="D207" i="1"/>
  <c r="D209" i="1"/>
  <c r="F207" i="1"/>
  <c r="F209" i="1"/>
  <c r="K1199" i="1"/>
  <c r="L1199" i="1"/>
  <c r="L1202" i="1"/>
  <c r="L1204" i="1"/>
  <c r="L685" i="1"/>
  <c r="L688" i="1"/>
  <c r="L690" i="1"/>
  <c r="H6" i="16"/>
  <c r="K1202" i="1"/>
  <c r="K1204" i="1"/>
  <c r="C8" i="16"/>
  <c r="C11" i="16"/>
  <c r="C5" i="16"/>
  <c r="C12" i="16"/>
  <c r="C6" i="16"/>
  <c r="C7" i="16"/>
  <c r="C4" i="16"/>
  <c r="C9" i="16"/>
  <c r="C10" i="16"/>
  <c r="L164" i="1"/>
  <c r="L172" i="1"/>
  <c r="H5" i="17"/>
  <c r="K457" i="1"/>
  <c r="K459" i="1"/>
  <c r="C207" i="1"/>
  <c r="C209" i="1"/>
  <c r="B6" i="14"/>
  <c r="B5" i="15"/>
  <c r="B15" i="15"/>
  <c r="I5" i="15"/>
  <c r="I15" i="15"/>
  <c r="I23" i="15"/>
  <c r="I27" i="15"/>
  <c r="K40" i="1"/>
  <c r="K50" i="1"/>
  <c r="L398" i="1"/>
  <c r="L40" i="1"/>
  <c r="L50" i="1"/>
  <c r="H4" i="17"/>
  <c r="I300" i="1"/>
  <c r="G50" i="1"/>
  <c r="F5" i="15"/>
  <c r="F15" i="15"/>
  <c r="F23" i="15"/>
  <c r="F27" i="15"/>
  <c r="E207" i="1"/>
  <c r="K479" i="1"/>
  <c r="K482" i="1"/>
  <c r="K484" i="1"/>
  <c r="F4" i="16"/>
  <c r="F14" i="16"/>
  <c r="G5" i="16"/>
  <c r="H10" i="17"/>
  <c r="I7" i="17"/>
  <c r="K207" i="1"/>
  <c r="K209" i="1"/>
  <c r="F6" i="14"/>
  <c r="F10" i="14"/>
  <c r="F14" i="14"/>
  <c r="F4" i="17"/>
  <c r="D6" i="14"/>
  <c r="D11" i="17"/>
  <c r="G207" i="1"/>
  <c r="C14" i="16"/>
  <c r="L207" i="1"/>
  <c r="L209" i="1"/>
  <c r="D14" i="16"/>
  <c r="L457" i="1"/>
  <c r="L459" i="1"/>
  <c r="G15" i="15"/>
  <c r="B23" i="15"/>
  <c r="B10" i="14"/>
  <c r="I302" i="1"/>
  <c r="E209" i="1"/>
  <c r="G209" i="1"/>
  <c r="G10" i="16"/>
  <c r="G4" i="16"/>
  <c r="G9" i="16"/>
  <c r="G7" i="16"/>
  <c r="G11" i="16"/>
  <c r="G12" i="16"/>
  <c r="G8" i="16"/>
  <c r="L479" i="1"/>
  <c r="L482" i="1"/>
  <c r="L484" i="1"/>
  <c r="H4" i="16"/>
  <c r="G6" i="16"/>
  <c r="G14" i="16"/>
  <c r="K297" i="1"/>
  <c r="K300" i="1"/>
  <c r="K302" i="1"/>
  <c r="E4" i="16"/>
  <c r="D15" i="16"/>
  <c r="F15" i="16"/>
  <c r="I4" i="17"/>
  <c r="I5" i="17"/>
  <c r="I10" i="17"/>
  <c r="I6" i="17"/>
  <c r="I8" i="17"/>
  <c r="F10" i="17"/>
  <c r="D10" i="14"/>
  <c r="E8" i="14"/>
  <c r="H6" i="14"/>
  <c r="L297" i="1"/>
  <c r="L300" i="1"/>
  <c r="L302" i="1"/>
  <c r="E7" i="16"/>
  <c r="E8" i="16"/>
  <c r="E12" i="16"/>
  <c r="E11" i="16"/>
  <c r="E9" i="16"/>
  <c r="E10" i="16"/>
  <c r="E5" i="16"/>
  <c r="E6" i="16"/>
  <c r="B27" i="15"/>
  <c r="G23" i="15"/>
  <c r="G10" i="14"/>
  <c r="G8" i="14"/>
  <c r="G6" i="14"/>
  <c r="B14" i="14"/>
  <c r="C8" i="14"/>
  <c r="C10" i="14"/>
  <c r="C6" i="14"/>
  <c r="H14" i="16"/>
  <c r="I4" i="16"/>
  <c r="G4" i="17"/>
  <c r="F11" i="17"/>
  <c r="H11" i="17"/>
  <c r="H10" i="14"/>
  <c r="H14" i="14"/>
  <c r="G5" i="17"/>
  <c r="G10" i="17"/>
  <c r="G7" i="17"/>
  <c r="G8" i="17"/>
  <c r="G6" i="17"/>
  <c r="E6" i="14"/>
  <c r="E10" i="14"/>
  <c r="D14" i="14"/>
  <c r="E14" i="16"/>
  <c r="G494" i="1"/>
  <c r="G496" i="1"/>
  <c r="G498" i="1"/>
  <c r="E496" i="1"/>
  <c r="E498" i="1"/>
  <c r="H15" i="16"/>
  <c r="I5" i="16"/>
  <c r="I6" i="16"/>
  <c r="I7" i="16"/>
  <c r="I11" i="16"/>
  <c r="I10" i="16"/>
  <c r="I12" i="16"/>
  <c r="I9" i="16"/>
  <c r="I14" i="16"/>
  <c r="I8" i="16"/>
  <c r="I8" i="14"/>
  <c r="I10" i="14"/>
  <c r="I6" i="14"/>
</calcChain>
</file>

<file path=xl/sharedStrings.xml><?xml version="1.0" encoding="utf-8"?>
<sst xmlns="http://schemas.openxmlformats.org/spreadsheetml/2006/main" count="3133" uniqueCount="1108">
  <si>
    <t>Votenumber</t>
  </si>
  <si>
    <t>Description</t>
  </si>
  <si>
    <t>Budget/OpenBal</t>
  </si>
  <si>
    <t>Curr Mth Exp</t>
  </si>
  <si>
    <t>Commitment</t>
  </si>
  <si>
    <t>YTD Movement</t>
  </si>
  <si>
    <t>Balance</t>
  </si>
  <si>
    <t>Perc</t>
  </si>
  <si>
    <t>MOLEMOLE MUNICIPALITY</t>
  </si>
  <si>
    <t>EXPENDITURE</t>
  </si>
  <si>
    <t>EMPLOYEE/COUNCILLORS RELATED COST</t>
  </si>
  <si>
    <t>EMPLOYEE SALARIES AND ALLOWANCES</t>
  </si>
  <si>
    <t>0000/00/1/01/0005</t>
  </si>
  <si>
    <t>ANNUAL BONUS</t>
  </si>
  <si>
    <t>0000/00/1/01/0010</t>
  </si>
  <si>
    <t>HOUSING SUBSIDY</t>
  </si>
  <si>
    <t>0000/00/1/01/0015</t>
  </si>
  <si>
    <t>LAPTOP ALLOWANCE</t>
  </si>
  <si>
    <t>0000/00/1/01/0020</t>
  </si>
  <si>
    <t>SUBSISTENCE AND TRAVEL CLAIM</t>
  </si>
  <si>
    <t>0000/00/1/01/0025</t>
  </si>
  <si>
    <t>OVERTIME</t>
  </si>
  <si>
    <t>PERFORMANCE BONUS</t>
  </si>
  <si>
    <t>0000/00/1/01/0035</t>
  </si>
  <si>
    <t>TELEPHONE / CELLPHONE ALLOWANCE</t>
  </si>
  <si>
    <t>0000/00/1/01/0040</t>
  </si>
  <si>
    <t>TEMPORARY SALARIES</t>
  </si>
  <si>
    <t>0000/00/1/01/0060</t>
  </si>
  <si>
    <t>ACTING ALLOWANCE</t>
  </si>
  <si>
    <t>0000/00/1/01/0065</t>
  </si>
  <si>
    <t>REDEMPTION OF LEAVE</t>
  </si>
  <si>
    <t>0000/00/1/01/0070</t>
  </si>
  <si>
    <t>SALARIES &amp; WAGES BASIC</t>
  </si>
  <si>
    <t>0000/00/1/01/0075</t>
  </si>
  <si>
    <t>STANDBY ALLOWANCE</t>
  </si>
  <si>
    <t>0000/00/1/01/0080</t>
  </si>
  <si>
    <t>VEHICLE / TRAVEL  ALLOWANCE</t>
  </si>
  <si>
    <t>0000/00/1/01/0090</t>
  </si>
  <si>
    <t>INTERNS SALARIES :FMG</t>
  </si>
  <si>
    <t>0000/00/1/01/0100</t>
  </si>
  <si>
    <t>DANGER ALLOWANCE</t>
  </si>
  <si>
    <t>0000/00/1/01/0110</t>
  </si>
  <si>
    <t>PMU - MIG</t>
  </si>
  <si>
    <t>0000/00/1/01/0120</t>
  </si>
  <si>
    <t>LONG SERVICE</t>
  </si>
  <si>
    <t>0000/00/1/01/0130</t>
  </si>
  <si>
    <t>CLOTHING ALLOWANCE</t>
  </si>
  <si>
    <t>0000/00/1/01/0140</t>
  </si>
  <si>
    <t>PRO-RATA BONUS</t>
  </si>
  <si>
    <t>SUB-TOTAL EMPLOYEE SAL AND ALLOWANCES</t>
  </si>
  <si>
    <t>EMPLOYEE SOCIAL CONTRIBUTIONS</t>
  </si>
  <si>
    <t>GROUP LIFE INSURANCE GENERAL</t>
  </si>
  <si>
    <t>0000/00/1/03/0010</t>
  </si>
  <si>
    <t>INDUSTRIAL /BARGAINING COUNCIL LEVY</t>
  </si>
  <si>
    <t>0000/00/1/03/0015</t>
  </si>
  <si>
    <t>INSURANCE UNEMPLOYMENT</t>
  </si>
  <si>
    <t>0000/00/1/03/0020</t>
  </si>
  <si>
    <t>MEDICAL AID SCHEME</t>
  </si>
  <si>
    <t>0000/00/1/03/0030</t>
  </si>
  <si>
    <t>PENSION FUNDS</t>
  </si>
  <si>
    <t>COIDA</t>
  </si>
  <si>
    <t>0000/00/1/03/0070</t>
  </si>
  <si>
    <t>SKILLS DEVELOPMENT LEVY</t>
  </si>
  <si>
    <t>SUB-TOTAL SOCIAL CONTRIBUTIONS</t>
  </si>
  <si>
    <t>SUB-TOTAL EMPLOYEE RELATED COSTS</t>
  </si>
  <si>
    <t>REMUNERATION OF COUNCILLORS</t>
  </si>
  <si>
    <t>0000/00/1/05/0005</t>
  </si>
  <si>
    <t>ALLOWANCES - COUNCILLORS</t>
  </si>
  <si>
    <t>0000/00/1/05/0025</t>
  </si>
  <si>
    <t>CELL PHONE ALLOWANCE</t>
  </si>
  <si>
    <t>0000/00/1/05/0050</t>
  </si>
  <si>
    <t>TRAVEL ALLOWANCE - COUNCILLORS</t>
  </si>
  <si>
    <t>SUB- TOTAL COUNCILLORS REMUNERATION</t>
  </si>
  <si>
    <t>TOTAL EMPLOYEE/COUNCILLORS RELATED COST</t>
  </si>
  <si>
    <t>GENERAL EXPENDITURE</t>
  </si>
  <si>
    <t>GENERAL EXPENDITURE - DEPARTMENTS</t>
  </si>
  <si>
    <t>0000/00/1/09/0005</t>
  </si>
  <si>
    <t>ACCOMMODATION AND MEALS</t>
  </si>
  <si>
    <t>0000/00/1/09/0010</t>
  </si>
  <si>
    <t>ACCOMMODATION AND MEALS : FMG</t>
  </si>
  <si>
    <t>0000/00/1/09/0025</t>
  </si>
  <si>
    <t>AFFILIATION &amp; MEMBERSHIP FEES</t>
  </si>
  <si>
    <t>0000/00/1/09/0030</t>
  </si>
  <si>
    <t>ADVERTISEMENTS : OTHER</t>
  </si>
  <si>
    <t>0000/00/1/09/0032</t>
  </si>
  <si>
    <t>ADVERTISING : RECRUITMENT</t>
  </si>
  <si>
    <t>0000/00/1/09/0033</t>
  </si>
  <si>
    <t>ADVERTISEMENTS: TENDERS</t>
  </si>
  <si>
    <t>0000/00/1/09/0040</t>
  </si>
  <si>
    <t>AUDIT COMMITTEES EXPENSES</t>
  </si>
  <si>
    <t>0000/00/1/09/0050</t>
  </si>
  <si>
    <t>AUDIT COMMUNITY FACILITIES:CDM</t>
  </si>
  <si>
    <t>0000/00/1/09/0095</t>
  </si>
  <si>
    <t>AUDIT FEES - EXTERNAL</t>
  </si>
  <si>
    <t>0000/00/1/09/0205</t>
  </si>
  <si>
    <t>BANK CHARGES</t>
  </si>
  <si>
    <t>0000/00/1/09/0206</t>
  </si>
  <si>
    <t>BEAUTIFICATION PLAN</t>
  </si>
  <si>
    <t>0000/00/1/09/0210</t>
  </si>
  <si>
    <t>BOOKS PUBLICATIONS AND AMENDMENTS</t>
  </si>
  <si>
    <t>0000/00/1/09/0381</t>
  </si>
  <si>
    <t>CAREER EXHEBITIONS</t>
  </si>
  <si>
    <t>0000/00/1/09/0382</t>
  </si>
  <si>
    <t>CASH MANAGEMENT SERVICES</t>
  </si>
  <si>
    <t>0000/00/1/09/0385</t>
  </si>
  <si>
    <t>CATERING</t>
  </si>
  <si>
    <t>CHEMICALS/DISINFECTANTS</t>
  </si>
  <si>
    <t>0000/00/1/09/0412</t>
  </si>
  <si>
    <t>COMMUNITY WASTE COLLECTION:CDM</t>
  </si>
  <si>
    <t>0000/00/1/09/0417</t>
  </si>
  <si>
    <t>0000/00/1/09/0420</t>
  </si>
  <si>
    <t>CONSULTANCY FEES</t>
  </si>
  <si>
    <t>0000/00/1/09/0423</t>
  </si>
  <si>
    <t>COST RECOVERY AND DEBTORS ANALYSIS</t>
  </si>
  <si>
    <t>0000/00/1/09/0425</t>
  </si>
  <si>
    <t>CLEANING MATERIALS</t>
  </si>
  <si>
    <t>0000/00/1/09/0500</t>
  </si>
  <si>
    <t>DATA CLEANSING</t>
  </si>
  <si>
    <t>0000/00/1/09/0580</t>
  </si>
  <si>
    <t>DEEDS</t>
  </si>
  <si>
    <t>DEPRECIATION</t>
  </si>
  <si>
    <t>0000/00/1/09/0588</t>
  </si>
  <si>
    <t>DISASTER MANAGEMENT SYSTEM</t>
  </si>
  <si>
    <t>0000/00/1/09/0805</t>
  </si>
  <si>
    <t>EAP</t>
  </si>
  <si>
    <t>0000/00/1/09/0810</t>
  </si>
  <si>
    <t>ELECTRIC PURCHASES</t>
  </si>
  <si>
    <t>0000/00/1/09/0815</t>
  </si>
  <si>
    <t>ENVIRONMENTAL &amp; WASTE MANAGEMENT INITIAT</t>
  </si>
  <si>
    <t>FEASIBILITY STUDY AGRI-HUB</t>
  </si>
  <si>
    <t>0000/00/1/09/1003</t>
  </si>
  <si>
    <t>FINANCIAL MANAGEMENT SUPPOR :FMG</t>
  </si>
  <si>
    <t>0000/00/1/09/1007</t>
  </si>
  <si>
    <t>FREE BASIC ELECTRICITY</t>
  </si>
  <si>
    <t>0000/00/1/09/1010</t>
  </si>
  <si>
    <t>FREE BASIC WATER</t>
  </si>
  <si>
    <t>0000/00/1/09/1015</t>
  </si>
  <si>
    <t>FUEL AND OIL : MUNICIPAL FLEET</t>
  </si>
  <si>
    <t>0000/00/1/09/1020</t>
  </si>
  <si>
    <t>FUEL AND OIL : OTHER</t>
  </si>
  <si>
    <t>GIS MAINTENANCE</t>
  </si>
  <si>
    <t>0000/00/1/09/1211</t>
  </si>
  <si>
    <t>GIS SYSTEM</t>
  </si>
  <si>
    <t>0000/00/1/09/1310</t>
  </si>
  <si>
    <t>HEALTH, SAFETY AND COMPLIANCE</t>
  </si>
  <si>
    <t>0000/00/1/09/1405</t>
  </si>
  <si>
    <t>IDP PROGRAMS</t>
  </si>
  <si>
    <t>INDABA</t>
  </si>
  <si>
    <t>0000/00/1/09/1425</t>
  </si>
  <si>
    <t>INSURANCE - GENERAL</t>
  </si>
  <si>
    <t>0000/00/1/09/1450</t>
  </si>
  <si>
    <t>INTEREST PAID</t>
  </si>
  <si>
    <t>0000/00/1/09/1457</t>
  </si>
  <si>
    <t>INTERGRATED TRANSPORT PLAN</t>
  </si>
  <si>
    <t>0000/00/1/09/1465</t>
  </si>
  <si>
    <t>INTERNSHIP PROGRAMME</t>
  </si>
  <si>
    <t>0000/00/1/09/1468</t>
  </si>
  <si>
    <t>INVESTOR CO-ORDINATION</t>
  </si>
  <si>
    <t>0000/00/1/09/1500</t>
  </si>
  <si>
    <t>ITC WIRELESS SOLUTIONS</t>
  </si>
  <si>
    <t>0000/00/1/09/1501</t>
  </si>
  <si>
    <t>0000/00/1/09/1600</t>
  </si>
  <si>
    <t>LAND USE SCHEME</t>
  </si>
  <si>
    <t>0000/00/1/09/2009</t>
  </si>
  <si>
    <t>LED SUPPORT FUND</t>
  </si>
  <si>
    <t>0000/00/1/09/2010</t>
  </si>
  <si>
    <t>LEGAL EXPENSES</t>
  </si>
  <si>
    <t>0000/00/1/09/2025</t>
  </si>
  <si>
    <t>LICENSES - VEHICLES</t>
  </si>
  <si>
    <t>0000/00/1/09/2031</t>
  </si>
  <si>
    <t>MANDELA DAY</t>
  </si>
  <si>
    <t>MASTERPLANS</t>
  </si>
  <si>
    <t>0000/00/1/09/2205</t>
  </si>
  <si>
    <t>MATERIAL AND SUPPLIES</t>
  </si>
  <si>
    <t>0000/00/1/09/2206</t>
  </si>
  <si>
    <t>MATERIALS : ROADS &amp; STORMWATER</t>
  </si>
  <si>
    <t>0000/00/1/09/2213</t>
  </si>
  <si>
    <t>MAYORAL BURSARY</t>
  </si>
  <si>
    <t>0000/00/1/09/2218</t>
  </si>
  <si>
    <t>MAYORAL CUP</t>
  </si>
  <si>
    <t>0000/00/1/09/2219</t>
  </si>
  <si>
    <t>MAYOR EXCELLENCE AWARD : EXTERNAL</t>
  </si>
  <si>
    <t>0000/00/1/09/2220</t>
  </si>
  <si>
    <t>MAYOR EXCELLENCE AWARD : INTERNAL</t>
  </si>
  <si>
    <t>0000/00/1/09/2223</t>
  </si>
  <si>
    <t>MEDICAL SURVEILLANCE</t>
  </si>
  <si>
    <t>0000/00/1/09/2225</t>
  </si>
  <si>
    <t>MEMBERSHIP FEES</t>
  </si>
  <si>
    <t>0000/00/1/09/2240</t>
  </si>
  <si>
    <t>MINERAL STRATEGY</t>
  </si>
  <si>
    <t>0000/00/1/09/2350</t>
  </si>
  <si>
    <t>NEW CONNECTIONS</t>
  </si>
  <si>
    <t>0000/00/1/09/2620</t>
  </si>
  <si>
    <t>PMU EXPENDITURE : MIG</t>
  </si>
  <si>
    <t>0000/00/1/09/2621</t>
  </si>
  <si>
    <t>PLANT HIRE</t>
  </si>
  <si>
    <t>0000/00/1/09/2625</t>
  </si>
  <si>
    <t>POLICIES AND BY-LAWS</t>
  </si>
  <si>
    <t>0000/00/1/09/2630</t>
  </si>
  <si>
    <t>POSTAGE AND TELEPHONE</t>
  </si>
  <si>
    <t>0000/00/1/09/2635</t>
  </si>
  <si>
    <t>PREPAID METERS</t>
  </si>
  <si>
    <t>0000/00/1/09/2640</t>
  </si>
  <si>
    <t>PRINTING AND PUBLICATIONS</t>
  </si>
  <si>
    <t>0000/00/1/09/2645</t>
  </si>
  <si>
    <t>PROTECTIVE CLOTHING</t>
  </si>
  <si>
    <t>0000/00/1/09/2675</t>
  </si>
  <si>
    <t>PUBLIC PARTICIPATION</t>
  </si>
  <si>
    <t>0000/00/1/09/2680</t>
  </si>
  <si>
    <t>PURCHASE OF BOOKS</t>
  </si>
  <si>
    <t>0000/00/1/09/3000</t>
  </si>
  <si>
    <t>REFRESHMENTS - MAYOR</t>
  </si>
  <si>
    <t>0000/00/1/09/3001</t>
  </si>
  <si>
    <t>REFRESHMENTS - SPEAKER</t>
  </si>
  <si>
    <t>0000/00/1/09/3002</t>
  </si>
  <si>
    <t>REFRESHMENTS - CHIEF WHIP</t>
  </si>
  <si>
    <t>0000/00/1/09/3003</t>
  </si>
  <si>
    <t>REFRESHMENTS</t>
  </si>
  <si>
    <t>REFUSE BAGS</t>
  </si>
  <si>
    <t>0000/00/1/09/3010</t>
  </si>
  <si>
    <t>RENTAL BUILDING</t>
  </si>
  <si>
    <t>0000/00/1/09/3015</t>
  </si>
  <si>
    <t>RENTAL OFFICE MACHINES</t>
  </si>
  <si>
    <t>0000/00/1/09/3017</t>
  </si>
  <si>
    <t>RENTAL OFFICE MACHINES : PHOTOCOPYING</t>
  </si>
  <si>
    <t>0000/00/1/09/3100</t>
  </si>
  <si>
    <t>RE-PEGGING OF SITES</t>
  </si>
  <si>
    <t>0000/00/1/09/3200</t>
  </si>
  <si>
    <t>REVALUATION OF INFRASTRUCTURE ASSETS</t>
  </si>
  <si>
    <t>0000/00/1/09/3201</t>
  </si>
  <si>
    <t>REVALUATION OF INFRASTRUCTURE ASSETS:MSI</t>
  </si>
  <si>
    <t>0000/00/1/09/3263</t>
  </si>
  <si>
    <t>SCOA IMPLEMENTATION:FMG</t>
  </si>
  <si>
    <t>0000/00/1/09/3276</t>
  </si>
  <si>
    <t>SMME'S &amp; COOPERATIVE SUPPORT AND COORDIN</t>
  </si>
  <si>
    <t>0000/00/1/09/3280</t>
  </si>
  <si>
    <t>SOCIAL SERVICES ACTIVITIES</t>
  </si>
  <si>
    <t>0000/00/1/09/3285</t>
  </si>
  <si>
    <t>SPECIAL FOCUS</t>
  </si>
  <si>
    <t>0000/00/1/09/3290</t>
  </si>
  <si>
    <t>SPORT ACTIVITIES</t>
  </si>
  <si>
    <t>0000/00/1/09/3293</t>
  </si>
  <si>
    <t>STATIONERY</t>
  </si>
  <si>
    <t>SUBSISTANCE AND TRAVELLING</t>
  </si>
  <si>
    <t>0000/00/1/09/3604</t>
  </si>
  <si>
    <t>SUBSITENCE AND TRAVELLING : OTHER</t>
  </si>
  <si>
    <t>0000/00/1/09/3605</t>
  </si>
  <si>
    <t>SUBSCRIPTION AND SYSTEMS LICENSING</t>
  </si>
  <si>
    <t>SUNDRY EXPENSES</t>
  </si>
  <si>
    <t>0000/00/1/09/4010</t>
  </si>
  <si>
    <t>TELEPHONE MANAGEMENT SYSTEM</t>
  </si>
  <si>
    <t>0000/00/1/09/4020</t>
  </si>
  <si>
    <t>TRACKING SYSTEM</t>
  </si>
  <si>
    <t>0000/00/1/09/4030</t>
  </si>
  <si>
    <t>TRAINING AND CONFERENCES</t>
  </si>
  <si>
    <t>0000/00/1/09/4032</t>
  </si>
  <si>
    <t>TRAINING AND EDUCATION : FMG</t>
  </si>
  <si>
    <t>0000/00/1/09/4043</t>
  </si>
  <si>
    <t>TRAINING SMME`S</t>
  </si>
  <si>
    <t>0000/00/1/09/4045</t>
  </si>
  <si>
    <t>TRAFFIC EXPENSES</t>
  </si>
  <si>
    <t>0000/00/1/09/4405</t>
  </si>
  <si>
    <t>TRANSPORT SERVICES</t>
  </si>
  <si>
    <t>0000/00/1/09/4406</t>
  </si>
  <si>
    <t>VALUATION ROLL COSTS</t>
  </si>
  <si>
    <t>0000/00/1/09/4407</t>
  </si>
  <si>
    <t>VALUATION ROLL COSTS:MSIG</t>
  </si>
  <si>
    <t>0000/00/1/09/5005</t>
  </si>
  <si>
    <t>WARD COMMITTEE EXPENSES</t>
  </si>
  <si>
    <t>0000/00/1/09/5010</t>
  </si>
  <si>
    <t>WARD COMMITTEE EXPENSES: MSIG</t>
  </si>
  <si>
    <t>0000/00/1/09/5015</t>
  </si>
  <si>
    <t>0000/00/1/09/5016</t>
  </si>
  <si>
    <t>WARD COMMITTEE TRAININGS</t>
  </si>
  <si>
    <t>0000/00/1/09/5018</t>
  </si>
  <si>
    <t>WASTE AND ENVIRONMENTAL MANAGEMENT: EPWP</t>
  </si>
  <si>
    <t>WATER METERS</t>
  </si>
  <si>
    <t>0000/00/1/09/5050</t>
  </si>
  <si>
    <t>WORKING CAPITAL / BAD DEBTS</t>
  </si>
  <si>
    <t>0000/00/1/09/5075</t>
  </si>
  <si>
    <t>WOMEN SUMMIT</t>
  </si>
  <si>
    <t>0000/00/1/09/8020</t>
  </si>
  <si>
    <t>CORPORATE SPORT</t>
  </si>
  <si>
    <t>0000/00/1/09/8025</t>
  </si>
  <si>
    <t>EMPLOYEE LOAN/BURSARY SCHEME</t>
  </si>
  <si>
    <t>0000/00/1/09/8030</t>
  </si>
  <si>
    <t>COMMISSION PAID</t>
  </si>
  <si>
    <t>SUB-TOTAL GENERAL EXPENSES DEPARTMENTS</t>
  </si>
  <si>
    <t>GENERAL EXPENSES - CONTRACTED SERVICES</t>
  </si>
  <si>
    <t>0000/00/1/16/1005</t>
  </si>
  <si>
    <t>SECURITY SERVICES</t>
  </si>
  <si>
    <t>SUB-TOTAL GENERAL EXPEN - CONTR SERVICES</t>
  </si>
  <si>
    <t>TOTAL GENERAL EXPENSES</t>
  </si>
  <si>
    <t>REPAIR AND MAINTENANCE - MUNICIPAL ASSET</t>
  </si>
  <si>
    <t>0000/00/1/28/0050</t>
  </si>
  <si>
    <t>R&amp;M - BUILDINGS</t>
  </si>
  <si>
    <t>R&amp;M -MUNICIPAL BUILDINGS</t>
  </si>
  <si>
    <t>0000/00/1/28/0150</t>
  </si>
  <si>
    <t>R&amp;M - MACHINERY</t>
  </si>
  <si>
    <t>0000/00/1/28/0740</t>
  </si>
  <si>
    <t>R&amp;M CEMETARY AND PARKS</t>
  </si>
  <si>
    <t>0000/00/1/28/1780</t>
  </si>
  <si>
    <t>R&amp;M - ELECTRICITY NETWORK</t>
  </si>
  <si>
    <t>0000/00/1/28/1850</t>
  </si>
  <si>
    <t>R&amp;M - FURNITURE</t>
  </si>
  <si>
    <t>0000/00/1/28/1880</t>
  </si>
  <si>
    <t>R&amp;M - ICT EQUIPMENT</t>
  </si>
  <si>
    <t>0000/00/1/28/2110</t>
  </si>
  <si>
    <t>R&amp;M - STREETS AND PAVEMENTS</t>
  </si>
  <si>
    <t>0000/00/1/28/2111</t>
  </si>
  <si>
    <t>R&amp;M- STREETS ANS PAVEMENTS</t>
  </si>
  <si>
    <t>0000/00/1/28/2210</t>
  </si>
  <si>
    <t>R&amp;M - TRANSFORMERS</t>
  </si>
  <si>
    <t>0000/00/1/28/3000</t>
  </si>
  <si>
    <t>R&amp;M - STREET LIGHTS</t>
  </si>
  <si>
    <t>R&amp;M - TELEPHONES</t>
  </si>
  <si>
    <t>0000/00/1/28/3910</t>
  </si>
  <si>
    <t>R&amp;M - VEHICLES</t>
  </si>
  <si>
    <t>0000/00/1/28/4000</t>
  </si>
  <si>
    <t>R&amp;M - WEBSITE</t>
  </si>
  <si>
    <t>0000/00/1/28/4010</t>
  </si>
  <si>
    <t>R&amp;M - HIGHMASTS</t>
  </si>
  <si>
    <t>0000/00/1/28/4040</t>
  </si>
  <si>
    <t>R&amp;M - SERVER</t>
  </si>
  <si>
    <t>INTER-DEPARTMENTAL CHARGES</t>
  </si>
  <si>
    <t>0000/00/1/30/0005</t>
  </si>
  <si>
    <t>DEPARTMENTAL: ASSESMENT RATES</t>
  </si>
  <si>
    <t>0000/00/1/30/0010</t>
  </si>
  <si>
    <t>DEPARTMENTAL: ELECTRICITY</t>
  </si>
  <si>
    <t>0000/00/1/30/0015</t>
  </si>
  <si>
    <t>DEPARTMENTAL: REFUSE REMOVAL</t>
  </si>
  <si>
    <t>DEPARTMENTAL: SEWER</t>
  </si>
  <si>
    <t>0000/00/1/30/0025</t>
  </si>
  <si>
    <t>DEPARTMENTAL: WATER</t>
  </si>
  <si>
    <t>TOTAL INTER-DEPARTMENTAL CHARGES</t>
  </si>
  <si>
    <t>0000/00/1/32/0005</t>
  </si>
  <si>
    <t>DEPRECIATION ON CRR ASSETS</t>
  </si>
  <si>
    <t>TOTAL DEPRECIATION</t>
  </si>
  <si>
    <t>SUB-TOTAL EXPENDITURE (GROSS)</t>
  </si>
  <si>
    <t>TOTAL EXPENDITURE (NETT)</t>
  </si>
  <si>
    <t>OPERATING INCOME</t>
  </si>
  <si>
    <t>PROPERTY RATES</t>
  </si>
  <si>
    <t>0000/00/2/03/0100</t>
  </si>
  <si>
    <t>PROPERTY RATES (ASSESSMENT RATES?)</t>
  </si>
  <si>
    <t>SUB-TOTAL PROPERTY RATES</t>
  </si>
  <si>
    <t>SERVICE CHARGES</t>
  </si>
  <si>
    <t>0000/00/2/05/1020</t>
  </si>
  <si>
    <t>BASIC LEVIES</t>
  </si>
  <si>
    <t>0000/00/2/05/1030</t>
  </si>
  <si>
    <t>ELECTRICITY SALES</t>
  </si>
  <si>
    <t>0000/00/2/05/2410</t>
  </si>
  <si>
    <t>REFUSE REMOVAL</t>
  </si>
  <si>
    <t>SUB-TOTAL SERVICE CHARGES</t>
  </si>
  <si>
    <t>OPERATING GRANTS AND SUBSIDIES</t>
  </si>
  <si>
    <t>0000/00/2/12/0050</t>
  </si>
  <si>
    <t>CDM FUNDING</t>
  </si>
  <si>
    <t>0000/00/2/12/0100</t>
  </si>
  <si>
    <t>EQUITABLE SHARE</t>
  </si>
  <si>
    <t>0000/00/2/12/1300</t>
  </si>
  <si>
    <t>0000/00/2/12/2120</t>
  </si>
  <si>
    <t>SUB-TOTAL OPERATING GRANTS AND SUBSIDIES</t>
  </si>
  <si>
    <t>CAPITAL GRANTS AND SUBSIDIES</t>
  </si>
  <si>
    <t>0000/00/2/14/0410</t>
  </si>
  <si>
    <t>GRANTS - MIG FUNDS</t>
  </si>
  <si>
    <t>0000/00/2/14/0911</t>
  </si>
  <si>
    <t>CDM:</t>
  </si>
  <si>
    <t>0000/00/2/14/1035</t>
  </si>
  <si>
    <t>GRANTS - PWPG</t>
  </si>
  <si>
    <t>SUB-TOTAL CAPITAL GRANTS AND SUBSIDIES</t>
  </si>
  <si>
    <t>INTEREST EARNED  - EXTERNAL INVESTMENTS</t>
  </si>
  <si>
    <t>0000/00/2/20/1000</t>
  </si>
  <si>
    <t>INTEREST FROM EXTERNAL INVESTMENTS</t>
  </si>
  <si>
    <t>INTEREST EARNED  - OUTSTANDING DEBTORS</t>
  </si>
  <si>
    <t>0000/00/2/22/1910</t>
  </si>
  <si>
    <t>LATE PAYMENT (ARREARS)</t>
  </si>
  <si>
    <t>RENT FACILITIES AND EQUIPMENT</t>
  </si>
  <si>
    <t>0000/00/2/25/0030</t>
  </si>
  <si>
    <t>RENTAL - BUILDINGS</t>
  </si>
  <si>
    <t>0000/00/2/25/0110</t>
  </si>
  <si>
    <t>RENTAL - GRAZING</t>
  </si>
  <si>
    <t>SUB-TOTAL RENT FACILITIES AND EQUIPMENT</t>
  </si>
  <si>
    <t>OTHER INCOME</t>
  </si>
  <si>
    <t>0000/00/2/36/0005</t>
  </si>
  <si>
    <t>ADVERTISING SIGNS</t>
  </si>
  <si>
    <t>0000/00/2/36/0050</t>
  </si>
  <si>
    <t>BOOKS LOST</t>
  </si>
  <si>
    <t>0000/00/2/36/0100</t>
  </si>
  <si>
    <t>BUILDING PLAN FEES</t>
  </si>
  <si>
    <t>0000/00/2/36/0110</t>
  </si>
  <si>
    <t>CLEARANCE CERTIFICATES</t>
  </si>
  <si>
    <t>0000/00/2/36/0165</t>
  </si>
  <si>
    <t>ELECTRICITY FINES</t>
  </si>
  <si>
    <t>0000/00/2/36/0200</t>
  </si>
  <si>
    <t>GRAVE FEES</t>
  </si>
  <si>
    <t>0000/00/2/36/1150</t>
  </si>
  <si>
    <t>0000/00/2/36/1210</t>
  </si>
  <si>
    <t>0000/00/2/36/1405</t>
  </si>
  <si>
    <t>PENALTIES</t>
  </si>
  <si>
    <t>0000/00/2/36/1500</t>
  </si>
  <si>
    <t>PROVISION FOR SALES OF ASSETS</t>
  </si>
  <si>
    <t>0000/00/2/36/1600</t>
  </si>
  <si>
    <t>RECONNECTIONS</t>
  </si>
  <si>
    <t>REPLACEMENT OF REFUSE BIN</t>
  </si>
  <si>
    <t>REPAYMENT OF EMPLOYEE LOAN/BURSARY</t>
  </si>
  <si>
    <t>0000/00/2/36/1647</t>
  </si>
  <si>
    <t>0000/00/2/36/1690</t>
  </si>
  <si>
    <t>SALE OF PREPAID METERS</t>
  </si>
  <si>
    <t>SALE OF STANDS</t>
  </si>
  <si>
    <t>SERVICE LEVIES</t>
  </si>
  <si>
    <t>0000/00/2/36/1740</t>
  </si>
  <si>
    <t>SKILLS DEVELOPMENT LEVY - REFUND</t>
  </si>
  <si>
    <t>SUNDRY INCOME</t>
  </si>
  <si>
    <t>SURPLUS CASH</t>
  </si>
  <si>
    <t>0000/00/2/36/1850</t>
  </si>
  <si>
    <t>TENDER DOCUMENTS</t>
  </si>
  <si>
    <t>0000/00/2/36/1900</t>
  </si>
  <si>
    <t>TOWN PLANNING FEES</t>
  </si>
  <si>
    <t>0000/00/2/36/1950</t>
  </si>
  <si>
    <t>TRAFFIC FINES</t>
  </si>
  <si>
    <t>0000/00/2/36/2000</t>
  </si>
  <si>
    <t>TRAFFIC LICENSING</t>
  </si>
  <si>
    <t>0000/00/2/36/2501</t>
  </si>
  <si>
    <t>COMMISSION/WATER</t>
  </si>
  <si>
    <t>0000/00/2/36/2510</t>
  </si>
  <si>
    <t>COMMISSION SANITATION</t>
  </si>
  <si>
    <t>20% COMMISSION TRAFFIC REVENUE</t>
  </si>
  <si>
    <t>SUB-TOTAL OTHER INCOME</t>
  </si>
  <si>
    <t>SUB-TOTAL OPERATING INCOME</t>
  </si>
  <si>
    <t>TOTAL DIRECT OPERATING INCOME</t>
  </si>
  <si>
    <t>TOTAL OPERATING INCOME</t>
  </si>
  <si>
    <t>STATEMENT OF FINANCIAL PERFORMANCE</t>
  </si>
  <si>
    <t>OPERATING SURPLUS / DEFICIT</t>
  </si>
  <si>
    <t>0000/00/3/01/0001</t>
  </si>
  <si>
    <t>TOTAL EXPENDITURE</t>
  </si>
  <si>
    <t>0000/00/3/01/0002</t>
  </si>
  <si>
    <t>TOTAL OPERATING SURPLUS / DEFICIT</t>
  </si>
  <si>
    <t>SURPLUS/DEFICIT</t>
  </si>
  <si>
    <t>ASSETS FROM OWN FUNDS(CRR)</t>
  </si>
  <si>
    <t>0000/00/4/01/0001</t>
  </si>
  <si>
    <t>ICT EQUIPMENTS</t>
  </si>
  <si>
    <t>0000/00/4/01/0015</t>
  </si>
  <si>
    <t>EVENT MANAGEMENT EQUIPMENTS</t>
  </si>
  <si>
    <t>0000/00/4/01/0227</t>
  </si>
  <si>
    <t>MOHODI/MAPONTO CROSS TAXI RANK</t>
  </si>
  <si>
    <t>CONSTRUCTION OF CHANGE ROOMS &amp; STOREROOM</t>
  </si>
  <si>
    <t>0000/00/4/01/0380</t>
  </si>
  <si>
    <t>MADIEHE LOW LEVEL BRIDGE</t>
  </si>
  <si>
    <t>0000/00/4/01/0384</t>
  </si>
  <si>
    <t>MADIKANA LOW LEVEL BRIDGE</t>
  </si>
  <si>
    <t>COMPACTOR ROLLER</t>
  </si>
  <si>
    <t>0000/00/4/01/0700</t>
  </si>
  <si>
    <t>ELECTRICAL NETWORK</t>
  </si>
  <si>
    <t>0000/00/4/01/0710</t>
  </si>
  <si>
    <t>HIGHMAST</t>
  </si>
  <si>
    <t>0000/00/4/01/0833</t>
  </si>
  <si>
    <t>MOGWADI INTERNAL STREETS</t>
  </si>
  <si>
    <t>0000/00/4/01/0845</t>
  </si>
  <si>
    <t>0000/00/4/01/0885</t>
  </si>
  <si>
    <t>ERECTION OF STREET LITTER BINS</t>
  </si>
  <si>
    <t>0000/00/4/01/0910</t>
  </si>
  <si>
    <t>MOGWADI LANDFILL SITE</t>
  </si>
  <si>
    <t>0000/00/4/01/0920</t>
  </si>
  <si>
    <t>PALISADE FENCE</t>
  </si>
  <si>
    <t>0000/00/4/01/0927</t>
  </si>
  <si>
    <t>RAMATJOWE LOW LEVEL BRIDGE</t>
  </si>
  <si>
    <t>0000/00/4/01/0937</t>
  </si>
  <si>
    <t>RELOCATION OF PREPAID METERS</t>
  </si>
  <si>
    <t>0000/00/4/01/0940</t>
  </si>
  <si>
    <t>REPLACEMENT OF OLD ELECTRICITY METERS IN</t>
  </si>
  <si>
    <t>0000/00/4/01/0980</t>
  </si>
  <si>
    <t>TOWNSHIP ESTABLISHMENT</t>
  </si>
  <si>
    <t>TOTAL ASSETS FROM OWN FUNDS(CRR)</t>
  </si>
  <si>
    <t>NETT ASSETS FROM OWN FUNDS</t>
  </si>
  <si>
    <t>ASSETS FROM GRANTS AND SUBSIDIES</t>
  </si>
  <si>
    <t>0000/00/4/02/0100</t>
  </si>
  <si>
    <t>COMPUTER HARDWARE AND SOFTWARE: PMU</t>
  </si>
  <si>
    <t>0000/00/4/02/0105</t>
  </si>
  <si>
    <t>OFFICE FURNITURE: PMU</t>
  </si>
  <si>
    <t>0000/00/4/02/0115</t>
  </si>
  <si>
    <t>EQUIPMENTS: EPWP</t>
  </si>
  <si>
    <t>0000/00/4/02/0400</t>
  </si>
  <si>
    <t>OFFICE FURNITURE AND EQUIPMENTS - FMG</t>
  </si>
  <si>
    <t>0000/00/4/02/0535</t>
  </si>
  <si>
    <t>MACHAKA TO SEKAKENE GRAVEL TO TAR ROAD</t>
  </si>
  <si>
    <t>0000/00/4/02/0545</t>
  </si>
  <si>
    <t>MOHODI TO MAPONTO GRAVEL TO TAR ROAD PHA</t>
  </si>
  <si>
    <t>0000/00/4/02/0555</t>
  </si>
  <si>
    <t>MOHODI TO THUPANA GRAVEL TO TAR ROAD PHA</t>
  </si>
  <si>
    <t>0000/00/4/02/0560</t>
  </si>
  <si>
    <t>MOHODI SPOTS COMPLEX: MIG</t>
  </si>
  <si>
    <t>0000/00/4/02/0565</t>
  </si>
  <si>
    <t>PABX SYSTEM: MSIG</t>
  </si>
  <si>
    <t>0000/00/4/02/0600</t>
  </si>
  <si>
    <t>RAMOKGOPA EISLEBEN GRAVEL TO TAR ROAD -</t>
  </si>
  <si>
    <t>TOTAL ASSETS FROM GRANTS AND SUBSIDIES</t>
  </si>
  <si>
    <t>NETT ASSETS FROM GRANTS &amp; SUBSIDIES</t>
  </si>
  <si>
    <t>TOTAL ASSETS</t>
  </si>
  <si>
    <t>PURCHASE OF NEW GRADERS:SPECIAL VEHICLES</t>
  </si>
  <si>
    <t>ADVERTSING : RECRUITMENT</t>
  </si>
  <si>
    <t>CATERING GENERAL</t>
  </si>
  <si>
    <t>TRACKING DEVICE SYSTEM</t>
  </si>
  <si>
    <t>WARD COMMITTEE EXPENSES : MSIG</t>
  </si>
  <si>
    <t>PROVISION FOR SALE OF ASSETS</t>
  </si>
  <si>
    <t>CORPORATE SERVICES ADMIN</t>
  </si>
  <si>
    <t>1005/05/1/01/0005</t>
  </si>
  <si>
    <t>1005/05/1/01/0010</t>
  </si>
  <si>
    <t>1005/05/1/01/0015</t>
  </si>
  <si>
    <t>1005/05/1/01/0020</t>
  </si>
  <si>
    <t>SUBSITENCE AND TRAVEL CLAIM</t>
  </si>
  <si>
    <t>1005/05/1/01/0025</t>
  </si>
  <si>
    <t>1005/05/1/01/0035</t>
  </si>
  <si>
    <t>1005/05/1/01/0040</t>
  </si>
  <si>
    <t>1005/05/1/01/0060</t>
  </si>
  <si>
    <t>1005/05/1/01/0065</t>
  </si>
  <si>
    <t>1005/05/1/01/0070</t>
  </si>
  <si>
    <t>1005/05/1/01/0075</t>
  </si>
  <si>
    <t>1005/05/1/01/0080</t>
  </si>
  <si>
    <t>1005/05/1/01/0120</t>
  </si>
  <si>
    <t>1005/05/1/01/0130</t>
  </si>
  <si>
    <t>1005/05/1/01/0140</t>
  </si>
  <si>
    <t>1005/05/1/03/0005</t>
  </si>
  <si>
    <t>1005/05/1/03/0010</t>
  </si>
  <si>
    <t>1005/05/1/03/0015</t>
  </si>
  <si>
    <t>1005/05/1/03/0020</t>
  </si>
  <si>
    <t>1005/05/1/03/0030</t>
  </si>
  <si>
    <t>1005/05/1/03/0050</t>
  </si>
  <si>
    <t>1005/05/1/03/0070</t>
  </si>
  <si>
    <t>1005/05/1/09/0005</t>
  </si>
  <si>
    <t>1005/05/1/09/0025</t>
  </si>
  <si>
    <t>AFFILIATION &amp; MEMBERSHIP FEES:SALGA</t>
  </si>
  <si>
    <t>ADVERTISEMENTS: OTHER</t>
  </si>
  <si>
    <t>1005/05/1/09/0032</t>
  </si>
  <si>
    <t>1005/05/1/09/0210</t>
  </si>
  <si>
    <t>1005/05/1/09/0417</t>
  </si>
  <si>
    <t>1005/05/1/09/0425</t>
  </si>
  <si>
    <t>1005/05/1/09/0805</t>
  </si>
  <si>
    <t>1005/05/1/09/1015</t>
  </si>
  <si>
    <t>1005/05/1/09/1310</t>
  </si>
  <si>
    <t>1005/05/1/09/1500</t>
  </si>
  <si>
    <t>1005/05/1/09/2025</t>
  </si>
  <si>
    <t>1005/05/1/09/2205</t>
  </si>
  <si>
    <t>1005/05/1/09/2213</t>
  </si>
  <si>
    <t>1005/05/1/09/2225</t>
  </si>
  <si>
    <t>1005/05/1/09/2630</t>
  </si>
  <si>
    <t>1005/05/1/09/2645</t>
  </si>
  <si>
    <t>1005/05/1/09/3003</t>
  </si>
  <si>
    <t>1005/05/1/09/3015</t>
  </si>
  <si>
    <t>RENTAL OFFICE MACHINES: USAGE</t>
  </si>
  <si>
    <t>1005/05/1/09/3017</t>
  </si>
  <si>
    <t>RENTAL PAYMENTS: PHOTOCOPIER</t>
  </si>
  <si>
    <t>1005/05/1/09/3604</t>
  </si>
  <si>
    <t>1005/05/1/09/3605</t>
  </si>
  <si>
    <t>1005/05/1/09/4010</t>
  </si>
  <si>
    <t>1005/05/1/09/4020</t>
  </si>
  <si>
    <t>1005/05/1/09/4030</t>
  </si>
  <si>
    <t>1005/05/1/09/4405</t>
  </si>
  <si>
    <t>1005/05/1/09/5005</t>
  </si>
  <si>
    <t>1005/05/1/09/5010</t>
  </si>
  <si>
    <t>1005/05/1/09/5015</t>
  </si>
  <si>
    <t>1005/05/1/09/5016</t>
  </si>
  <si>
    <t>1005/05/1/09/8020</t>
  </si>
  <si>
    <t>1005/05/1/09/8025</t>
  </si>
  <si>
    <t>1005/05/1/16/1005</t>
  </si>
  <si>
    <t>1005/05/1/28/0050</t>
  </si>
  <si>
    <t>1005/05/1/28/1210</t>
  </si>
  <si>
    <t>1005/05/1/28/1800</t>
  </si>
  <si>
    <t>R&amp;M - FENCING</t>
  </si>
  <si>
    <t>1005/05/1/28/1850</t>
  </si>
  <si>
    <t>1005/05/1/28/1880</t>
  </si>
  <si>
    <t>1005/05/1/28/3010</t>
  </si>
  <si>
    <t>1005/05/1/28/3910</t>
  </si>
  <si>
    <t>1005/05/1/28/4000</t>
  </si>
  <si>
    <t>1005/05/1/28/4040</t>
  </si>
  <si>
    <t>LATE PAYMENT</t>
  </si>
  <si>
    <t>1005/05/2/36/0005</t>
  </si>
  <si>
    <t>1005/05/2/36/1500</t>
  </si>
  <si>
    <t>1005/05/2/36/1645</t>
  </si>
  <si>
    <t>1005/05/2/36/1740</t>
  </si>
  <si>
    <t>1005/05/2/36/1760</t>
  </si>
  <si>
    <t>1005/05/3/01/0001</t>
  </si>
  <si>
    <t>1005/05/3/01/0002</t>
  </si>
  <si>
    <t>1005/05/4/01/0001</t>
  </si>
  <si>
    <t>1005/05/4/01/0920</t>
  </si>
  <si>
    <t>1005/05/4/02/0565</t>
  </si>
  <si>
    <t>PLANNING AND ECONOMIC DEVELPOMENT</t>
  </si>
  <si>
    <t>1005/10/1/01/0005</t>
  </si>
  <si>
    <t>1005/10/1/01/0010</t>
  </si>
  <si>
    <t>1005/10/1/01/0015</t>
  </si>
  <si>
    <t>1005/10/1/01/0020</t>
  </si>
  <si>
    <t>1005/10/1/01/0025</t>
  </si>
  <si>
    <t>1005/10/1/01/0030</t>
  </si>
  <si>
    <t>1005/10/1/01/0035</t>
  </si>
  <si>
    <t>1005/10/1/01/0040</t>
  </si>
  <si>
    <t>1005/10/1/01/0060</t>
  </si>
  <si>
    <t>1005/10/1/01/0065</t>
  </si>
  <si>
    <t>1005/10/1/01/0070</t>
  </si>
  <si>
    <t>1005/10/1/01/0075</t>
  </si>
  <si>
    <t>1005/10/1/01/0080</t>
  </si>
  <si>
    <t>1005/10/1/03/0010</t>
  </si>
  <si>
    <t>1005/10/1/03/0015</t>
  </si>
  <si>
    <t>1005/10/1/03/0020</t>
  </si>
  <si>
    <t>1005/10/1/03/0030</t>
  </si>
  <si>
    <t>1005/10/1/03/0070</t>
  </si>
  <si>
    <t>1005/10/1/09/0005</t>
  </si>
  <si>
    <t>1005/10/1/09/0050</t>
  </si>
  <si>
    <t>1005/10/1/09/0381</t>
  </si>
  <si>
    <t>1005/10/1/09/0896</t>
  </si>
  <si>
    <t>1005/10/1/09/1205</t>
  </si>
  <si>
    <t>1005/10/1/09/1211</t>
  </si>
  <si>
    <t>1005/10/1/09/1405</t>
  </si>
  <si>
    <t>1005/10/1/09/1421</t>
  </si>
  <si>
    <t>1005/10/1/09/1457</t>
  </si>
  <si>
    <t>1005/10/1/09/1465</t>
  </si>
  <si>
    <t>1005/10/1/09/1468</t>
  </si>
  <si>
    <t>1005/10/1/09/1600</t>
  </si>
  <si>
    <t>1005/10/1/09/2009</t>
  </si>
  <si>
    <t>1005/10/1/09/3003</t>
  </si>
  <si>
    <t>1005/10/1/09/3100</t>
  </si>
  <si>
    <t>1005/10/1/09/4043</t>
  </si>
  <si>
    <t>1005/10/1/09/4405</t>
  </si>
  <si>
    <t>1005/10/2/12/0050</t>
  </si>
  <si>
    <t>1005/10/2/12/0100</t>
  </si>
  <si>
    <t>1005/10/2/25/0110</t>
  </si>
  <si>
    <t>1005/10/2/36/0005</t>
  </si>
  <si>
    <t>1005/10/2/36/0100</t>
  </si>
  <si>
    <t>1005/10/2/36/0101</t>
  </si>
  <si>
    <t>1005/10/2/36/0110</t>
  </si>
  <si>
    <t>1005/10/2/36/1700</t>
  </si>
  <si>
    <t>1005/10/2/36/1760</t>
  </si>
  <si>
    <t>1005/10/2/36/1900</t>
  </si>
  <si>
    <t>1005/10/3/01/0001</t>
  </si>
  <si>
    <t>1005/10/3/01/0002</t>
  </si>
  <si>
    <t>EQUIPMENT</t>
  </si>
  <si>
    <t>1005/10/4/01/0980</t>
  </si>
  <si>
    <t>MUNICIPAL MANAGER ADMIN</t>
  </si>
  <si>
    <t>SKILLS DEVLOPMENT LEVY</t>
  </si>
  <si>
    <t>1010/05/1/01/0005</t>
  </si>
  <si>
    <t>1010/05/1/01/0010</t>
  </si>
  <si>
    <t>1010/05/1/01/0015</t>
  </si>
  <si>
    <t>1010/05/1/01/0020</t>
  </si>
  <si>
    <t>1010/05/1/01/0025</t>
  </si>
  <si>
    <t>1010/05/1/01/0030</t>
  </si>
  <si>
    <t>1010/05/1/01/0035</t>
  </si>
  <si>
    <t>1010/05/1/01/0040</t>
  </si>
  <si>
    <t>1010/05/1/01/0060</t>
  </si>
  <si>
    <t>1010/05/1/01/0065</t>
  </si>
  <si>
    <t>1010/05/1/01/0070</t>
  </si>
  <si>
    <t>1010/05/1/01/0075</t>
  </si>
  <si>
    <t>1010/05/1/01/0080</t>
  </si>
  <si>
    <t>1010/05/1/01/0090</t>
  </si>
  <si>
    <t>1010/05/1/03/0010</t>
  </si>
  <si>
    <t>1010/05/1/03/0015</t>
  </si>
  <si>
    <t>1010/05/1/03/0020</t>
  </si>
  <si>
    <t>1010/05/1/03/0030</t>
  </si>
  <si>
    <t>1010/05/1/03/0050</t>
  </si>
  <si>
    <t>1010/05/1/03/0070</t>
  </si>
  <si>
    <t>1010/05/1/09/0005</t>
  </si>
  <si>
    <t>1010/05/1/09/0030</t>
  </si>
  <si>
    <t>1010/05/1/09/0040</t>
  </si>
  <si>
    <t>1010/05/1/09/0095</t>
  </si>
  <si>
    <t>1010/05/1/09/0385</t>
  </si>
  <si>
    <t>1010/05/1/09/2010</t>
  </si>
  <si>
    <t>1010/05/1/09/2625</t>
  </si>
  <si>
    <t>1010/05/1/09/2640</t>
  </si>
  <si>
    <t>PRINTING , PUBLICATION &amp; MARKETING</t>
  </si>
  <si>
    <t>1010/05/1/09/2675</t>
  </si>
  <si>
    <t>1010/05/1/09/3003</t>
  </si>
  <si>
    <t>1010/05/1/09/4405</t>
  </si>
  <si>
    <t>1010/05/3/01/0001</t>
  </si>
  <si>
    <t>1010/05/3/01/0002</t>
  </si>
  <si>
    <t>1010/05/4/01/0015</t>
  </si>
  <si>
    <t>MAYORS OFFICE ADMIN</t>
  </si>
  <si>
    <t>1015/05/1/01/0005</t>
  </si>
  <si>
    <t>1015/05/1/01/0010</t>
  </si>
  <si>
    <t>1015/05/1/01/0015</t>
  </si>
  <si>
    <t>1015/05/1/01/0020</t>
  </si>
  <si>
    <t>1015/05/1/01/0025</t>
  </si>
  <si>
    <t>1015/05/1/01/0030</t>
  </si>
  <si>
    <t>1015/05/1/01/0035</t>
  </si>
  <si>
    <t>1015/05/1/01/0070</t>
  </si>
  <si>
    <t>1015/05/1/01/0075</t>
  </si>
  <si>
    <t>1015/05/1/01/0080</t>
  </si>
  <si>
    <t>1015/05/1/01/0120</t>
  </si>
  <si>
    <t>1015/05/1/01/0130</t>
  </si>
  <si>
    <t>1015/05/1/01/0140</t>
  </si>
  <si>
    <t>1015/05/1/03/0010</t>
  </si>
  <si>
    <t>1015/05/1/03/0015</t>
  </si>
  <si>
    <t>1015/05/1/03/0020</t>
  </si>
  <si>
    <t>1015/05/1/03/0030</t>
  </si>
  <si>
    <t>1015/05/1/03/0050</t>
  </si>
  <si>
    <t>1015/05/1/03/0070</t>
  </si>
  <si>
    <t>1015/05/1/05/0005</t>
  </si>
  <si>
    <t>1015/05/1/05/0025</t>
  </si>
  <si>
    <t>1015/05/1/05/0050</t>
  </si>
  <si>
    <t>1015/05/1/09/0005</t>
  </si>
  <si>
    <t>1015/05/1/09/2031</t>
  </si>
  <si>
    <t>1015/05/1/09/2218</t>
  </si>
  <si>
    <t>1015/05/1/09/2219</t>
  </si>
  <si>
    <t>MAYORS EXCELLENCE AWARD : EXTERNAL</t>
  </si>
  <si>
    <t>1015/05/1/09/3000</t>
  </si>
  <si>
    <t>1015/05/1/09/3001</t>
  </si>
  <si>
    <t>1015/05/1/09/3002</t>
  </si>
  <si>
    <t>1015/05/1/09/3285</t>
  </si>
  <si>
    <t>1015/05/1/09/4405</t>
  </si>
  <si>
    <t>1015/05/3/01/0001</t>
  </si>
  <si>
    <t>1015/05/3/01/0002</t>
  </si>
  <si>
    <t>WORKING CAPITAL / BAD DEBT</t>
  </si>
  <si>
    <t>PROPERTY RATES (ASSESSMENT RATES)</t>
  </si>
  <si>
    <t>BUDGET AND TREASURY</t>
  </si>
  <si>
    <t>1020/05/1/01/0005</t>
  </si>
  <si>
    <t>1020/05/1/01/0010</t>
  </si>
  <si>
    <t>1020/05/1/01/0015</t>
  </si>
  <si>
    <t>1020/05/1/01/0020</t>
  </si>
  <si>
    <t>SUBSISTENCE AND TRAVEL ALLOWANCE</t>
  </si>
  <si>
    <t>1020/05/1/01/0025</t>
  </si>
  <si>
    <t>1020/05/1/01/0035</t>
  </si>
  <si>
    <t>1020/05/1/01/0060</t>
  </si>
  <si>
    <t>1020/05/1/01/0065</t>
  </si>
  <si>
    <t>1020/05/1/01/0070</t>
  </si>
  <si>
    <t>1020/05/1/01/0075</t>
  </si>
  <si>
    <t>1020/05/1/01/0080</t>
  </si>
  <si>
    <t>1020/05/1/01/0090</t>
  </si>
  <si>
    <t>INTERNS SALARIES : FMG</t>
  </si>
  <si>
    <t>1020/05/1/01/0120</t>
  </si>
  <si>
    <t>1020/05/1/01/0130</t>
  </si>
  <si>
    <t>1020/05/1/01/0140</t>
  </si>
  <si>
    <t>1020/05/1/03/0010</t>
  </si>
  <si>
    <t>1020/05/1/03/0015</t>
  </si>
  <si>
    <t>1020/05/1/03/0020</t>
  </si>
  <si>
    <t>1020/05/1/03/0030</t>
  </si>
  <si>
    <t>1020/05/1/03/0070</t>
  </si>
  <si>
    <t>1020/05/1/09/0005</t>
  </si>
  <si>
    <t>1020/05/1/09/0010</t>
  </si>
  <si>
    <t>1020/05/1/09/0033</t>
  </si>
  <si>
    <t>1020/05/1/09/0205</t>
  </si>
  <si>
    <t>1020/05/1/09/0382</t>
  </si>
  <si>
    <t>1020/05/1/09/0420</t>
  </si>
  <si>
    <t>1020/05/1/09/0423</t>
  </si>
  <si>
    <t>1020/05/1/09/0500</t>
  </si>
  <si>
    <t>1020/05/1/09/0580</t>
  </si>
  <si>
    <t>1020/05/1/09/0810</t>
  </si>
  <si>
    <t>1020/05/1/09/1003</t>
  </si>
  <si>
    <t>FINANCIAL MANAGEMENT SUPPORT:FMG</t>
  </si>
  <si>
    <t>1020/05/1/09/1007</t>
  </si>
  <si>
    <t>1020/05/1/09/1425</t>
  </si>
  <si>
    <t>1020/05/1/09/1450</t>
  </si>
  <si>
    <t>1020/05/1/09/3003</t>
  </si>
  <si>
    <t>1020/05/1/09/3200</t>
  </si>
  <si>
    <t>1020/05/1/09/3201</t>
  </si>
  <si>
    <t>1020/05/1/09/3263</t>
  </si>
  <si>
    <t>1020/05/1/09/3293</t>
  </si>
  <si>
    <t>1020/05/1/09/4032</t>
  </si>
  <si>
    <t>1020/05/1/09/4405</t>
  </si>
  <si>
    <t>1020/05/1/09/4406</t>
  </si>
  <si>
    <t>1020/05/1/09/4407</t>
  </si>
  <si>
    <t>1020/05/1/09/5050</t>
  </si>
  <si>
    <t>1020/05/1/09/8030</t>
  </si>
  <si>
    <t>1020/05/1/30/0010</t>
  </si>
  <si>
    <t>BILL: MUNICIPAL ELECTRICITY</t>
  </si>
  <si>
    <t>1020/05/1/30/0015</t>
  </si>
  <si>
    <t>BILL: MUNICIPAL REFUSE</t>
  </si>
  <si>
    <t>1020/05/1/30/0025</t>
  </si>
  <si>
    <t>BILL: MUNICIPAL WATER</t>
  </si>
  <si>
    <t>1020/05/1/32/0005</t>
  </si>
  <si>
    <t>1020/05/2/03/0100</t>
  </si>
  <si>
    <t>1020/05/2/12/0100</t>
  </si>
  <si>
    <t>1020/05/2/12/1300</t>
  </si>
  <si>
    <t>1020/05/2/12/2120</t>
  </si>
  <si>
    <t>1020/05/2/20/1000</t>
  </si>
  <si>
    <t>1020/05/2/22/1910</t>
  </si>
  <si>
    <t>1020/05/2/36/1780</t>
  </si>
  <si>
    <t>1020/05/2/36/1850</t>
  </si>
  <si>
    <t>1020/05/3/01/0001</t>
  </si>
  <si>
    <t>1020/05/3/01/0002</t>
  </si>
  <si>
    <t>1020/05/4/02/0400</t>
  </si>
  <si>
    <t>RENTAL - SANITATION SERVICES</t>
  </si>
  <si>
    <t>COMMUNITY SERVICES ADMIN</t>
  </si>
  <si>
    <t>1025/05/1/01/0005</t>
  </si>
  <si>
    <t>1025/05/1/01/0010</t>
  </si>
  <si>
    <t>1025/05/1/01/0015</t>
  </si>
  <si>
    <t>1025/05/1/01/0020</t>
  </si>
  <si>
    <t>1025/05/1/01/0025</t>
  </si>
  <si>
    <t>1025/05/1/01/0035</t>
  </si>
  <si>
    <t>1025/05/1/01/0060</t>
  </si>
  <si>
    <t>1025/05/1/01/0065</t>
  </si>
  <si>
    <t>1025/05/1/01/0070</t>
  </si>
  <si>
    <t>1025/05/1/01/0075</t>
  </si>
  <si>
    <t>1025/05/1/01/0080</t>
  </si>
  <si>
    <t>1025/05/1/01/0100</t>
  </si>
  <si>
    <t>1025/05/1/01/0120</t>
  </si>
  <si>
    <t>1025/05/1/01/0130</t>
  </si>
  <si>
    <t>1025/05/1/01/0140</t>
  </si>
  <si>
    <t>1025/05/1/03/0010</t>
  </si>
  <si>
    <t>1025/05/1/03/0015</t>
  </si>
  <si>
    <t>1025/05/1/03/0020</t>
  </si>
  <si>
    <t>1025/05/1/03/0030</t>
  </si>
  <si>
    <t>1025/05/1/03/0050</t>
  </si>
  <si>
    <t>1025/05/1/03/0070</t>
  </si>
  <si>
    <t>1025/05/1/09/0005</t>
  </si>
  <si>
    <t>1025/05/1/09/0206</t>
  </si>
  <si>
    <t>1025/05/1/09/0210</t>
  </si>
  <si>
    <t>1025/05/1/09/0412</t>
  </si>
  <si>
    <t>1025/05/1/09/0588</t>
  </si>
  <si>
    <t>1025/05/1/09/0815</t>
  </si>
  <si>
    <t>1025/05/1/09/1015</t>
  </si>
  <si>
    <t>1025/05/1/09/1020</t>
  </si>
  <si>
    <t>1025/05/1/09/2205</t>
  </si>
  <si>
    <t>1025/05/1/09/2225</t>
  </si>
  <si>
    <t>1025/05/1/09/2645</t>
  </si>
  <si>
    <t>1025/05/1/09/2680</t>
  </si>
  <si>
    <t>1025/05/1/09/3003</t>
  </si>
  <si>
    <t>1025/05/1/09/3015</t>
  </si>
  <si>
    <t>1025/05/1/09/3280</t>
  </si>
  <si>
    <t>1025/05/1/09/3290</t>
  </si>
  <si>
    <t>1025/05/1/09/3600</t>
  </si>
  <si>
    <t>1025/05/1/09/4030</t>
  </si>
  <si>
    <t>1025/05/1/09/4045</t>
  </si>
  <si>
    <t>1025/05/1/09/4405</t>
  </si>
  <si>
    <t>1025/05/1/09/5018</t>
  </si>
  <si>
    <t>1025/05/1/28/0140</t>
  </si>
  <si>
    <t>1025/05/1/28/0150</t>
  </si>
  <si>
    <t>1025/05/1/28/0740</t>
  </si>
  <si>
    <t>R&amp;M - PARKS, CEMETRIES &amp; SPORTSFIELD</t>
  </si>
  <si>
    <t>1025/05/2/05/2410</t>
  </si>
  <si>
    <t>1025/05/2/12/0050</t>
  </si>
  <si>
    <t>1025/05/2/12/0100</t>
  </si>
  <si>
    <t>1025/05/2/14/0911</t>
  </si>
  <si>
    <t>1025/05/2/25/0030</t>
  </si>
  <si>
    <t>1025/05/2/36/0050</t>
  </si>
  <si>
    <t>1025/05/2/36/0175</t>
  </si>
  <si>
    <t>1025/05/2/36/0200</t>
  </si>
  <si>
    <t>1025/05/2/36/1150</t>
  </si>
  <si>
    <t>1025/05/2/36/1300</t>
  </si>
  <si>
    <t>NEW CONNECTIONS WATER</t>
  </si>
  <si>
    <t>1025/05/2/36/1405</t>
  </si>
  <si>
    <t>1025/05/2/36/1647</t>
  </si>
  <si>
    <t>1025/05/2/36/1760</t>
  </si>
  <si>
    <t>1025/05/2/36/1950</t>
  </si>
  <si>
    <t>1025/05/2/36/2000</t>
  </si>
  <si>
    <t>TRAFFIC LICENCING</t>
  </si>
  <si>
    <t>1025/05/2/36/3010</t>
  </si>
  <si>
    <t>1025/05/3/01/0001</t>
  </si>
  <si>
    <t>1025/05/3/01/0002</t>
  </si>
  <si>
    <t>1025/05/4/01/0002</t>
  </si>
  <si>
    <t>1025/05/4/01/0227</t>
  </si>
  <si>
    <t>1025/05/4/01/0885</t>
  </si>
  <si>
    <t>1025/05/4/01/0910</t>
  </si>
  <si>
    <t>1025/05/4/02/0545</t>
  </si>
  <si>
    <t>1025/05/4/02/0560</t>
  </si>
  <si>
    <t>MOHODI SPORT COMPLEX:MIG</t>
  </si>
  <si>
    <t>PMU : MIG</t>
  </si>
  <si>
    <t>RE-CONNECTIONS</t>
  </si>
  <si>
    <t>TECHN SERV-ROADS &amp;STORMWATER: ADMIN</t>
  </si>
  <si>
    <t>1030/05/1/01/0005</t>
  </si>
  <si>
    <t>1030/05/1/01/0010</t>
  </si>
  <si>
    <t>1030/05/1/01/0015</t>
  </si>
  <si>
    <t>1030/05/1/01/0020</t>
  </si>
  <si>
    <t>1030/05/1/01/0025</t>
  </si>
  <si>
    <t>1030/05/1/01/0030</t>
  </si>
  <si>
    <t>1030/05/1/01/0035</t>
  </si>
  <si>
    <t>1030/05/1/01/0040</t>
  </si>
  <si>
    <t>1030/05/1/01/0060</t>
  </si>
  <si>
    <t>1030/05/1/01/0065</t>
  </si>
  <si>
    <t>1030/05/1/01/0070</t>
  </si>
  <si>
    <t>1030/05/1/01/0075</t>
  </si>
  <si>
    <t>1030/05/1/01/0080</t>
  </si>
  <si>
    <t>1030/05/1/01/0110</t>
  </si>
  <si>
    <t>1030/05/1/01/0120</t>
  </si>
  <si>
    <t>1030/05/1/01/0130</t>
  </si>
  <si>
    <t>1030/05/1/01/0140</t>
  </si>
  <si>
    <t>1030/05/1/03/0010</t>
  </si>
  <si>
    <t>1030/05/1/03/0015</t>
  </si>
  <si>
    <t>1030/05/1/03/0020</t>
  </si>
  <si>
    <t>1030/05/1/03/0030</t>
  </si>
  <si>
    <t>1030/05/1/03/0050</t>
  </si>
  <si>
    <t>1030/05/1/03/0070</t>
  </si>
  <si>
    <t>1030/05/1/09/0005</t>
  </si>
  <si>
    <t>1030/05/1/09/0410</t>
  </si>
  <si>
    <t>1030/05/1/09/1015</t>
  </si>
  <si>
    <t>1030/05/1/09/1020</t>
  </si>
  <si>
    <t>1030/05/1/09/2040</t>
  </si>
  <si>
    <t>1030/05/1/09/2205</t>
  </si>
  <si>
    <t>1030/05/1/09/2206</t>
  </si>
  <si>
    <t>1030/05/1/09/2225</t>
  </si>
  <si>
    <t>1030/05/1/09/2620</t>
  </si>
  <si>
    <t>1030/05/1/09/2621</t>
  </si>
  <si>
    <t>1030/05/1/09/2645</t>
  </si>
  <si>
    <t>1030/05/1/09/3003</t>
  </si>
  <si>
    <t>1030/05/1/09/3005</t>
  </si>
  <si>
    <t>1030/05/1/09/3600</t>
  </si>
  <si>
    <t>1030/05/1/09/3610</t>
  </si>
  <si>
    <t>1030/05/1/09/4030</t>
  </si>
  <si>
    <t>1030/05/1/09/4405</t>
  </si>
  <si>
    <t>1030/05/1/28/0140</t>
  </si>
  <si>
    <t>1030/05/1/28/2110</t>
  </si>
  <si>
    <t>R&amp;M - STREETS AND PAVEMENTS:EPWP</t>
  </si>
  <si>
    <t>1030/05/1/28/2111</t>
  </si>
  <si>
    <t>R&amp;M- STREETS AND PAVEMENTS</t>
  </si>
  <si>
    <t>1030/05/1/28/3910</t>
  </si>
  <si>
    <t>1030/05/1/30/0005</t>
  </si>
  <si>
    <t>DEPARTMENTAL - ASSESSMENT RATES</t>
  </si>
  <si>
    <t>1030/05/1/30/0010</t>
  </si>
  <si>
    <t>1030/05/1/30/0015</t>
  </si>
  <si>
    <t>1030/05/1/30/0020</t>
  </si>
  <si>
    <t>1030/05/1/30/0025</t>
  </si>
  <si>
    <t>1030/05/2/14/0410</t>
  </si>
  <si>
    <t>1030/05/2/14/1035</t>
  </si>
  <si>
    <t>1030/05/3/01/0001</t>
  </si>
  <si>
    <t>1030/05/3/01/0002</t>
  </si>
  <si>
    <t>1030/05/4/01/0355</t>
  </si>
  <si>
    <t>1030/05/4/01/0380</t>
  </si>
  <si>
    <t>1030/05/4/01/0384</t>
  </si>
  <si>
    <t>1030/05/4/01/0600</t>
  </si>
  <si>
    <t>1030/05/4/01/0833</t>
  </si>
  <si>
    <t>1030/05/4/01/0845</t>
  </si>
  <si>
    <t>1030/05/4/01/0927</t>
  </si>
  <si>
    <t>1030/05/4/02/0100</t>
  </si>
  <si>
    <t>1030/05/4/02/0105</t>
  </si>
  <si>
    <t>1030/05/4/02/0530</t>
  </si>
  <si>
    <t>REFURBISHMENT OF RAMOKGOPA STAIUM:CDM</t>
  </si>
  <si>
    <t>1030/05/4/02/0535</t>
  </si>
  <si>
    <t>1030/05/4/02/0550</t>
  </si>
  <si>
    <t>1030/05/4/02/0555</t>
  </si>
  <si>
    <t>1030/05/4/02/0600</t>
  </si>
  <si>
    <t>1030/10/1/01/0005</t>
  </si>
  <si>
    <t>1030/10/1/01/0010</t>
  </si>
  <si>
    <t>1030/10/1/01/0015</t>
  </si>
  <si>
    <t>1030/10/1/01/0020</t>
  </si>
  <si>
    <t>1030/10/1/01/0025</t>
  </si>
  <si>
    <t>1030/10/1/01/0030</t>
  </si>
  <si>
    <t>1030/10/1/01/0035</t>
  </si>
  <si>
    <t>1030/10/1/01/0040</t>
  </si>
  <si>
    <t>1030/10/1/01/0060</t>
  </si>
  <si>
    <t>1030/10/1/01/0065</t>
  </si>
  <si>
    <t>1030/10/1/01/0070</t>
  </si>
  <si>
    <t>1030/10/1/01/0075</t>
  </si>
  <si>
    <t>1030/10/1/01/0080</t>
  </si>
  <si>
    <t>1030/10/1/01/0120</t>
  </si>
  <si>
    <t>1030/10/1/01/0130</t>
  </si>
  <si>
    <t>1030/10/1/01/0140</t>
  </si>
  <si>
    <t>1030/10/1/03/0010</t>
  </si>
  <si>
    <t>1030/10/1/03/0015</t>
  </si>
  <si>
    <t>1030/10/1/03/0020</t>
  </si>
  <si>
    <t>1030/10/1/03/0030</t>
  </si>
  <si>
    <t>1030/10/1/03/0050</t>
  </si>
  <si>
    <t>1030/10/1/03/0070</t>
  </si>
  <si>
    <t>1030/10/1/09/2635</t>
  </si>
  <si>
    <t>1030/10/1/09/4405</t>
  </si>
  <si>
    <t>1030/10/1/28/1780</t>
  </si>
  <si>
    <t>1030/10/1/28/2210</t>
  </si>
  <si>
    <t>1030/10/1/28/3000</t>
  </si>
  <si>
    <t>1030/10/1/28/4010</t>
  </si>
  <si>
    <t>1030/10/2/05/1020</t>
  </si>
  <si>
    <t>1030/10/2/05/1030</t>
  </si>
  <si>
    <t>1030/10/2/36/0165</t>
  </si>
  <si>
    <t>1030/10/2/36/1210</t>
  </si>
  <si>
    <t>1030/10/2/36/1600</t>
  </si>
  <si>
    <t>1030/10/2/36/1690</t>
  </si>
  <si>
    <t>SALES OF PREPAID METERS</t>
  </si>
  <si>
    <t>1030/10/2/36/1710</t>
  </si>
  <si>
    <t>1030/10/3/01/0001</t>
  </si>
  <si>
    <t>1030/10/3/01/0002</t>
  </si>
  <si>
    <t>1030/10/4/01/0700</t>
  </si>
  <si>
    <t>1030/10/4/01/0710</t>
  </si>
  <si>
    <t>1030/10/4/01/0937</t>
  </si>
  <si>
    <t>1030/10/4/01/0940</t>
  </si>
  <si>
    <t>TECHN SERV.-WATER SANITATION AND REFUSE</t>
  </si>
  <si>
    <t>1030/15/1/01/0005</t>
  </si>
  <si>
    <t>1030/15/1/01/0010</t>
  </si>
  <si>
    <t>1030/15/1/01/0015</t>
  </si>
  <si>
    <t>1030/15/1/01/0020</t>
  </si>
  <si>
    <t>1030/15/1/01/0025</t>
  </si>
  <si>
    <t>1030/15/1/01/0030</t>
  </si>
  <si>
    <t>1030/15/1/01/0035</t>
  </si>
  <si>
    <t>1030/15/1/01/0040</t>
  </si>
  <si>
    <t>1030/15/1/01/0060</t>
  </si>
  <si>
    <t>1030/15/1/01/0065</t>
  </si>
  <si>
    <t>1030/15/1/01/0070</t>
  </si>
  <si>
    <t>1030/15/1/01/0075</t>
  </si>
  <si>
    <t>1030/15/1/01/0080</t>
  </si>
  <si>
    <t>1030/15/1/01/0120</t>
  </si>
  <si>
    <t>1030/15/1/01/0130</t>
  </si>
  <si>
    <t>1030/15/1/01/0140</t>
  </si>
  <si>
    <t>1030/15/1/03/0010</t>
  </si>
  <si>
    <t>1030/15/1/03/0015</t>
  </si>
  <si>
    <t>1030/15/1/03/0020</t>
  </si>
  <si>
    <t>1030/15/1/03/0030</t>
  </si>
  <si>
    <t>1030/15/1/03/0050</t>
  </si>
  <si>
    <t>1030/15/1/03/0070</t>
  </si>
  <si>
    <t>1030/15/1/09/1010</t>
  </si>
  <si>
    <t>1030/15/1/09/2225</t>
  </si>
  <si>
    <t>1030/15/1/09/4405</t>
  </si>
  <si>
    <t>1030/15/1/09/5020</t>
  </si>
  <si>
    <t>1030/15/2/12/0050</t>
  </si>
  <si>
    <t>1030/15/2/12/0100</t>
  </si>
  <si>
    <t>1030/15/2/36/2501</t>
  </si>
  <si>
    <t>1030/15/2/36/2510</t>
  </si>
  <si>
    <t>1030/15/3/01/0001</t>
  </si>
  <si>
    <t>1030/15/3/01/0002</t>
  </si>
  <si>
    <t>Adjustments</t>
  </si>
  <si>
    <t>Adjusted Budget 2015/2016</t>
  </si>
  <si>
    <t>Adjusted Budget 2016/2017</t>
  </si>
  <si>
    <t>Adjusted Budget 2017/2018</t>
  </si>
  <si>
    <t>TOTAL REPAIR AND MAINTENANCE - MUNICIPAL ASSETS</t>
  </si>
  <si>
    <t>GRANT - LOCAL GOVERNMENT FINANCE MANAGEMENT GRANT</t>
  </si>
  <si>
    <t>GRANT - MUNICIPAL SYSTEMS IMPROVEMENT GRANT</t>
  </si>
  <si>
    <t>SUB-TOTAL INTEREST EARNED-EXTERNAL INVESMENTS</t>
  </si>
  <si>
    <t>SUB-TOTAL INTEREST EARNED-OUTSTANDING DEBTORS</t>
  </si>
  <si>
    <t xml:space="preserve">MOHODI TO THUPANA GRAVEL TO TAR ROAD </t>
  </si>
  <si>
    <t>REPAIR AND MAINTENANCE - MUNICIPAL ASSETS</t>
  </si>
  <si>
    <t>TECHNICAL SERVICES - ELECTRICAL &amp; MACHINERY</t>
  </si>
  <si>
    <t>DRAFT ADJUSTMENT BUDGET 2015/2016 FINANCIAL YEAR</t>
  </si>
  <si>
    <t xml:space="preserve"> </t>
  </si>
  <si>
    <t xml:space="preserve">                                      2015/2016</t>
  </si>
  <si>
    <t xml:space="preserve">       </t>
  </si>
  <si>
    <t>TABLE OF CONTENT</t>
  </si>
  <si>
    <t>COVER</t>
  </si>
  <si>
    <t>EXECUTIVE SUMMARY</t>
  </si>
  <si>
    <t xml:space="preserve">CONSOLIDATED OPERATIONAL &amp; CAPITAL  BUDGET </t>
  </si>
  <si>
    <t>AMOUNT</t>
  </si>
  <si>
    <t>%</t>
  </si>
  <si>
    <t>OPERATING EXPENDITURE</t>
  </si>
  <si>
    <t>CAPITAL EXPENDITURE</t>
  </si>
  <si>
    <t>TOTAL BUDGET</t>
  </si>
  <si>
    <t>TOTAL INCOME</t>
  </si>
  <si>
    <t>SURPLUS</t>
  </si>
  <si>
    <r>
      <t>WARD COMMITTEE INDUCTION/</t>
    </r>
    <r>
      <rPr>
        <sz val="11"/>
        <color rgb="FFFF0000"/>
        <rFont val="Arial"/>
        <family val="2"/>
      </rPr>
      <t>CONFERENCE</t>
    </r>
  </si>
  <si>
    <r>
      <t>WARD COMMITTEE INDUCTION/</t>
    </r>
    <r>
      <rPr>
        <sz val="11"/>
        <color rgb="FFFF0000"/>
        <rFont val="Arial"/>
        <family val="2"/>
      </rPr>
      <t>CONFERENCE: MSIG</t>
    </r>
  </si>
  <si>
    <t>MOLEMOLE 2030 STRATEGY</t>
  </si>
  <si>
    <t>OUTDOOR ADVERTISING</t>
  </si>
  <si>
    <t>TOURISM MASTER PLAN</t>
  </si>
  <si>
    <t>REVALUATION OF INFRASTRUCTURE ASSETS:MSIG</t>
  </si>
  <si>
    <t>SUMMARY PER TYPE</t>
  </si>
  <si>
    <t>Commitments</t>
  </si>
  <si>
    <t>YTD Expenditure</t>
  </si>
  <si>
    <t>% Exp</t>
  </si>
  <si>
    <t>Adjustment</t>
  </si>
  <si>
    <t>Adjusted Budget</t>
  </si>
  <si>
    <t>TOTAL EMPLOYEE/COUNCILLORS RELATED COSTS</t>
  </si>
  <si>
    <t>TOTAL CAPITAL BUDGET</t>
  </si>
  <si>
    <t>TOTAL MUNICIPAL BUDGET</t>
  </si>
  <si>
    <t>1005/05/1/09/3010</t>
  </si>
  <si>
    <t>RENTAL BULDING</t>
  </si>
  <si>
    <t>0000/00/2/36/1700</t>
  </si>
  <si>
    <t>0000/05/2/36/1780</t>
  </si>
  <si>
    <t>1025/05/4/01/0320</t>
  </si>
  <si>
    <t>ESTABLISHMENT OF PARKS</t>
  </si>
  <si>
    <t>0000/05/4/01/0320</t>
  </si>
  <si>
    <t>COMPRESSOR</t>
  </si>
  <si>
    <t>ELECTRIFICATION OF NEW SITES</t>
  </si>
  <si>
    <t>FURNITURE</t>
  </si>
  <si>
    <t>VEHICLES</t>
  </si>
  <si>
    <t>GUARDROOM</t>
  </si>
  <si>
    <t>CONSTRUCTION OF PARKING AREA</t>
  </si>
  <si>
    <t>RENOVATION OF MUNICIPAL BUILDINGS</t>
  </si>
  <si>
    <t>0000/05/4/01/0600</t>
  </si>
  <si>
    <t xml:space="preserve"> ORIGINAL BUDGET  2015/2016</t>
  </si>
  <si>
    <t xml:space="preserve"> ANNUAL BUDGET   2016/2017</t>
  </si>
  <si>
    <t xml:space="preserve"> ADJUSTED BUDGET   2015/2016</t>
  </si>
  <si>
    <t xml:space="preserve">  ANNUAL BUDGET   2017/2018</t>
  </si>
  <si>
    <t>OPEX PER DEPARTMENTS</t>
  </si>
  <si>
    <t>TYPE</t>
  </si>
  <si>
    <t>% OPEX</t>
  </si>
  <si>
    <t xml:space="preserve"> BUDGET 2016 /2017</t>
  </si>
  <si>
    <t xml:space="preserve"> BUDGET 2017 /2018</t>
  </si>
  <si>
    <t>CORPORATE SERVICES</t>
  </si>
  <si>
    <t>PLANNING AND ECONOMIC DEVELOPMENT</t>
  </si>
  <si>
    <t>MUNICIPAL MANAGER'S OFFICE</t>
  </si>
  <si>
    <t>MAYOR'S OFFICE</t>
  </si>
  <si>
    <t>COMMUNITY SERVICES</t>
  </si>
  <si>
    <t>TECHNICAL : ROADS</t>
  </si>
  <si>
    <t>TECHNICAL : ELECTRICITY</t>
  </si>
  <si>
    <t>TECHNICAL: WATER</t>
  </si>
  <si>
    <t>TOTAL OPEX PER DEPARTMENTS</t>
  </si>
  <si>
    <t>ORIGINAL BUDGET 2015/2016</t>
  </si>
  <si>
    <t>ADJUSTED BUDGET 2015/2016</t>
  </si>
  <si>
    <t xml:space="preserve"> ANNUAL BUDGET 2016 /2017</t>
  </si>
  <si>
    <t xml:space="preserve"> ANNUAL BUDGET 2017 /2018</t>
  </si>
  <si>
    <t>OPEX PER TYPES</t>
  </si>
  <si>
    <t>TOTAL OPEX PER TYPES</t>
  </si>
  <si>
    <t>STREET TRADING FACILITIES</t>
  </si>
  <si>
    <t>ERECTION OF SIGNS</t>
  </si>
  <si>
    <t>REZONING</t>
  </si>
  <si>
    <t>6M3 BULK REFUE CONTAINERS</t>
  </si>
  <si>
    <t>REFURBIDHMENT OF MOREBENG TENNIS COURT</t>
  </si>
  <si>
    <t>BEUTIFICATION MOREBENG CEMETRY</t>
  </si>
  <si>
    <t>CONSTRUCTION : SEFOKOLO LOW LEVEL BRIDGE</t>
  </si>
  <si>
    <t>TIPPER TRUCK</t>
  </si>
  <si>
    <t>ELECTRICAL BAKKIE</t>
  </si>
  <si>
    <t>CONSTRUCTION OF MECHANICAL WORKSHOP</t>
  </si>
  <si>
    <t>Annual Budget 2016/2017</t>
  </si>
  <si>
    <t>AnnualBudget 2017/2018</t>
  </si>
  <si>
    <t>CAPEX PER DEPARTMENTS</t>
  </si>
  <si>
    <t>% CAPEX</t>
  </si>
  <si>
    <t xml:space="preserve"> ADJUSTED BUDGET  2016 /2017</t>
  </si>
  <si>
    <t xml:space="preserve"> ADJUSTED BUDGET 2017 /2018</t>
  </si>
  <si>
    <t>CONSTRUCTION OF CHANGE ROOMS</t>
  </si>
  <si>
    <t>INVESTMENTS</t>
  </si>
  <si>
    <t>WARD COMMITTEE INDUCTION/CONFERENCE</t>
  </si>
  <si>
    <t>WARD COMMITTEE INDUCTION/CONFERENCE: MSIG</t>
  </si>
  <si>
    <t>REVENUE PER DEPARTMENTS</t>
  </si>
  <si>
    <t>BUDGET 2015/2016</t>
  </si>
  <si>
    <t xml:space="preserve"> BUDGET 2016/2017</t>
  </si>
  <si>
    <t xml:space="preserve"> BUDGET 2017/2018</t>
  </si>
  <si>
    <t>TOTAL INCOME PER DEPARTMENTS</t>
  </si>
  <si>
    <t>% INCOME</t>
  </si>
  <si>
    <t>REASONS FOR ADJUSTMENTS</t>
  </si>
  <si>
    <t xml:space="preserve">                                          APPROVED ADJUSTMENT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</si>
</sst>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15" xfId="0" applyNumberFormat="1" applyFont="1" applyBorder="1"/>
    <xf numFmtId="164" fontId="18" fillId="0" borderId="16" xfId="0" applyNumberFormat="1" applyFont="1" applyBorder="1"/>
    <xf numFmtId="164" fontId="18" fillId="0" borderId="13" xfId="0" applyNumberFormat="1" applyFont="1" applyBorder="1"/>
    <xf numFmtId="164" fontId="18" fillId="0" borderId="14" xfId="0" applyNumberFormat="1" applyFont="1" applyBorder="1"/>
    <xf numFmtId="0" fontId="19" fillId="0" borderId="20" xfId="0" applyFont="1" applyBorder="1"/>
    <xf numFmtId="0" fontId="19" fillId="0" borderId="10" xfId="0" applyFont="1" applyBorder="1"/>
    <xf numFmtId="164" fontId="19" fillId="0" borderId="10" xfId="0" applyNumberFormat="1" applyFont="1" applyBorder="1"/>
    <xf numFmtId="164" fontId="19" fillId="0" borderId="21" xfId="0" applyNumberFormat="1" applyFont="1" applyBorder="1"/>
    <xf numFmtId="164" fontId="19" fillId="0" borderId="10" xfId="0" applyNumberFormat="1" applyFont="1" applyBorder="1" applyAlignment="1">
      <alignment wrapText="1"/>
    </xf>
    <xf numFmtId="0" fontId="19" fillId="0" borderId="11" xfId="0" applyFont="1" applyBorder="1"/>
    <xf numFmtId="0" fontId="19" fillId="0" borderId="13" xfId="0" applyFont="1" applyBorder="1"/>
    <xf numFmtId="164" fontId="19" fillId="0" borderId="15" xfId="0" applyNumberFormat="1" applyFont="1" applyBorder="1"/>
    <xf numFmtId="164" fontId="19" fillId="0" borderId="13" xfId="0" applyNumberFormat="1" applyFont="1" applyBorder="1"/>
    <xf numFmtId="0" fontId="19" fillId="0" borderId="17" xfId="0" applyFont="1" applyBorder="1"/>
    <xf numFmtId="0" fontId="19" fillId="0" borderId="18" xfId="0" applyFont="1" applyBorder="1"/>
    <xf numFmtId="164" fontId="19" fillId="0" borderId="19" xfId="0" applyNumberFormat="1" applyFont="1" applyBorder="1"/>
    <xf numFmtId="164" fontId="19" fillId="0" borderId="18" xfId="0" applyNumberFormat="1" applyFont="1" applyBorder="1"/>
    <xf numFmtId="164" fontId="19" fillId="0" borderId="0" xfId="0" applyNumberFormat="1" applyFont="1" applyAlignment="1">
      <alignment horizontal="left"/>
    </xf>
    <xf numFmtId="164" fontId="19" fillId="0" borderId="21" xfId="0" applyNumberFormat="1" applyFont="1" applyBorder="1" applyAlignment="1">
      <alignment horizontal="left" wrapText="1"/>
    </xf>
    <xf numFmtId="164" fontId="19" fillId="0" borderId="15" xfId="0" applyNumberFormat="1" applyFont="1" applyBorder="1" applyAlignment="1">
      <alignment horizontal="left"/>
    </xf>
    <xf numFmtId="164" fontId="18" fillId="0" borderId="15" xfId="0" applyNumberFormat="1" applyFont="1" applyBorder="1" applyAlignment="1">
      <alignment horizontal="left"/>
    </xf>
    <xf numFmtId="164" fontId="18" fillId="0" borderId="16" xfId="0" applyNumberFormat="1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164" fontId="20" fillId="34" borderId="15" xfId="0" applyNumberFormat="1" applyFont="1" applyFill="1" applyBorder="1"/>
    <xf numFmtId="164" fontId="18" fillId="33" borderId="15" xfId="0" applyNumberFormat="1" applyFont="1" applyFill="1" applyBorder="1"/>
    <xf numFmtId="164" fontId="19" fillId="0" borderId="0" xfId="0" applyNumberFormat="1" applyFont="1" applyBorder="1"/>
    <xf numFmtId="164" fontId="18" fillId="33" borderId="13" xfId="0" applyNumberFormat="1" applyFont="1" applyFill="1" applyBorder="1"/>
    <xf numFmtId="164" fontId="19" fillId="0" borderId="13" xfId="0" applyNumberFormat="1" applyFont="1" applyBorder="1" applyAlignment="1">
      <alignment horizontal="left"/>
    </xf>
    <xf numFmtId="164" fontId="18" fillId="0" borderId="13" xfId="0" applyNumberFormat="1" applyFont="1" applyBorder="1" applyAlignment="1">
      <alignment horizontal="left"/>
    </xf>
    <xf numFmtId="164" fontId="19" fillId="0" borderId="22" xfId="0" applyNumberFormat="1" applyFont="1" applyBorder="1"/>
    <xf numFmtId="164" fontId="19" fillId="0" borderId="21" xfId="0" applyNumberFormat="1" applyFont="1" applyBorder="1" applyAlignment="1">
      <alignment wrapText="1"/>
    </xf>
    <xf numFmtId="0" fontId="18" fillId="33" borderId="11" xfId="0" applyFont="1" applyFill="1" applyBorder="1"/>
    <xf numFmtId="0" fontId="18" fillId="33" borderId="13" xfId="0" applyFont="1" applyFill="1" applyBorder="1"/>
    <xf numFmtId="164" fontId="18" fillId="33" borderId="15" xfId="0" applyNumberFormat="1" applyFont="1" applyFill="1" applyBorder="1" applyAlignment="1">
      <alignment horizontal="left"/>
    </xf>
    <xf numFmtId="0" fontId="18" fillId="33" borderId="0" xfId="0" applyFont="1" applyFill="1"/>
    <xf numFmtId="41" fontId="19" fillId="0" borderId="21" xfId="0" applyNumberFormat="1" applyFont="1" applyBorder="1" applyAlignment="1">
      <alignment horizontal="left" wrapText="1"/>
    </xf>
    <xf numFmtId="41" fontId="19" fillId="0" borderId="10" xfId="0" applyNumberFormat="1" applyFont="1" applyBorder="1"/>
    <xf numFmtId="41" fontId="19" fillId="0" borderId="21" xfId="0" applyNumberFormat="1" applyFont="1" applyBorder="1"/>
    <xf numFmtId="41" fontId="19" fillId="0" borderId="10" xfId="0" applyNumberFormat="1" applyFont="1" applyBorder="1" applyAlignment="1">
      <alignment wrapText="1"/>
    </xf>
    <xf numFmtId="41" fontId="19" fillId="0" borderId="21" xfId="0" applyNumberFormat="1" applyFont="1" applyBorder="1" applyAlignment="1">
      <alignment wrapText="1"/>
    </xf>
    <xf numFmtId="41" fontId="19" fillId="0" borderId="15" xfId="0" applyNumberFormat="1" applyFont="1" applyBorder="1" applyAlignment="1">
      <alignment horizontal="left"/>
    </xf>
    <xf numFmtId="41" fontId="19" fillId="0" borderId="13" xfId="0" applyNumberFormat="1" applyFont="1" applyBorder="1"/>
    <xf numFmtId="41" fontId="19" fillId="0" borderId="15" xfId="0" applyNumberFormat="1" applyFont="1" applyBorder="1"/>
    <xf numFmtId="41" fontId="18" fillId="0" borderId="15" xfId="0" applyNumberFormat="1" applyFont="1" applyBorder="1" applyAlignment="1">
      <alignment horizontal="left"/>
    </xf>
    <xf numFmtId="41" fontId="18" fillId="0" borderId="13" xfId="0" applyNumberFormat="1" applyFont="1" applyBorder="1"/>
    <xf numFmtId="41" fontId="18" fillId="0" borderId="15" xfId="0" applyNumberFormat="1" applyFont="1" applyBorder="1"/>
    <xf numFmtId="41" fontId="19" fillId="0" borderId="13" xfId="0" applyNumberFormat="1" applyFont="1" applyBorder="1" applyAlignment="1">
      <alignment horizontal="left"/>
    </xf>
    <xf numFmtId="41" fontId="18" fillId="0" borderId="13" xfId="0" applyNumberFormat="1" applyFont="1" applyBorder="1" applyAlignment="1">
      <alignment horizontal="left"/>
    </xf>
    <xf numFmtId="41" fontId="18" fillId="33" borderId="15" xfId="0" applyNumberFormat="1" applyFont="1" applyFill="1" applyBorder="1" applyAlignment="1">
      <alignment horizontal="left"/>
    </xf>
    <xf numFmtId="41" fontId="18" fillId="33" borderId="13" xfId="0" applyNumberFormat="1" applyFont="1" applyFill="1" applyBorder="1"/>
    <xf numFmtId="41" fontId="18" fillId="33" borderId="15" xfId="0" applyNumberFormat="1" applyFont="1" applyFill="1" applyBorder="1"/>
    <xf numFmtId="41" fontId="0" fillId="0" borderId="0" xfId="0" applyNumberFormat="1"/>
    <xf numFmtId="41" fontId="21" fillId="0" borderId="21" xfId="0" applyNumberFormat="1" applyFont="1" applyBorder="1"/>
    <xf numFmtId="41" fontId="21" fillId="0" borderId="15" xfId="0" applyNumberFormat="1" applyFont="1" applyBorder="1"/>
    <xf numFmtId="41" fontId="20" fillId="0" borderId="15" xfId="0" applyNumberFormat="1" applyFont="1" applyBorder="1"/>
    <xf numFmtId="41" fontId="21" fillId="0" borderId="15" xfId="0" applyNumberFormat="1" applyFont="1" applyBorder="1" applyAlignment="1">
      <alignment horizontal="left"/>
    </xf>
    <xf numFmtId="41" fontId="20" fillId="0" borderId="15" xfId="0" applyNumberFormat="1" applyFont="1" applyBorder="1" applyAlignment="1">
      <alignment horizontal="left"/>
    </xf>
    <xf numFmtId="41" fontId="20" fillId="33" borderId="15" xfId="0" applyNumberFormat="1" applyFont="1" applyFill="1" applyBorder="1"/>
    <xf numFmtId="41" fontId="14" fillId="0" borderId="0" xfId="0" applyNumberFormat="1" applyFont="1"/>
    <xf numFmtId="164" fontId="21" fillId="0" borderId="21" xfId="0" applyNumberFormat="1" applyFont="1" applyBorder="1"/>
    <xf numFmtId="164" fontId="21" fillId="0" borderId="15" xfId="0" applyNumberFormat="1" applyFont="1" applyBorder="1"/>
    <xf numFmtId="164" fontId="20" fillId="0" borderId="15" xfId="0" applyNumberFormat="1" applyFont="1" applyBorder="1"/>
    <xf numFmtId="164" fontId="21" fillId="0" borderId="15" xfId="0" applyNumberFormat="1" applyFont="1" applyBorder="1" applyAlignment="1">
      <alignment horizontal="left"/>
    </xf>
    <xf numFmtId="164" fontId="20" fillId="33" borderId="15" xfId="0" applyNumberFormat="1" applyFont="1" applyFill="1" applyBorder="1"/>
    <xf numFmtId="0" fontId="14" fillId="0" borderId="0" xfId="0" applyFont="1"/>
    <xf numFmtId="164" fontId="20" fillId="0" borderId="16" xfId="0" applyNumberFormat="1" applyFont="1" applyBorder="1"/>
    <xf numFmtId="164" fontId="21" fillId="0" borderId="0" xfId="0" applyNumberFormat="1" applyFont="1"/>
    <xf numFmtId="164" fontId="20" fillId="0" borderId="15" xfId="0" applyNumberFormat="1" applyFont="1" applyBorder="1" applyAlignment="1">
      <alignment horizontal="left"/>
    </xf>
    <xf numFmtId="164" fontId="21" fillId="0" borderId="0" xfId="0" applyNumberFormat="1" applyFont="1" applyBorder="1"/>
    <xf numFmtId="164" fontId="21" fillId="0" borderId="0" xfId="0" applyNumberFormat="1" applyFont="1" applyFill="1"/>
    <xf numFmtId="164" fontId="21" fillId="0" borderId="21" xfId="0" applyNumberFormat="1" applyFont="1" applyFill="1" applyBorder="1"/>
    <xf numFmtId="164" fontId="20" fillId="0" borderId="0" xfId="0" applyNumberFormat="1" applyFont="1" applyFill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 indent="5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23" xfId="0" applyFont="1" applyBorder="1"/>
    <xf numFmtId="0" fontId="26" fillId="0" borderId="13" xfId="0" applyFont="1" applyBorder="1"/>
    <xf numFmtId="0" fontId="26" fillId="0" borderId="14" xfId="0" applyFont="1" applyBorder="1"/>
    <xf numFmtId="166" fontId="25" fillId="0" borderId="0" xfId="0" applyNumberFormat="1" applyFont="1"/>
    <xf numFmtId="0" fontId="25" fillId="0" borderId="24" xfId="0" applyFont="1" applyBorder="1"/>
    <xf numFmtId="166" fontId="25" fillId="0" borderId="24" xfId="0" applyNumberFormat="1" applyFont="1" applyBorder="1"/>
    <xf numFmtId="0" fontId="25" fillId="0" borderId="10" xfId="0" applyNumberFormat="1" applyFont="1" applyBorder="1" applyAlignment="1">
      <alignment wrapText="1"/>
    </xf>
    <xf numFmtId="166" fontId="25" fillId="0" borderId="10" xfId="0" applyNumberFormat="1" applyFont="1" applyBorder="1"/>
    <xf numFmtId="0" fontId="25" fillId="0" borderId="10" xfId="0" applyFont="1" applyBorder="1" applyAlignment="1">
      <alignment horizontal="center" wrapText="1"/>
    </xf>
    <xf numFmtId="166" fontId="25" fillId="0" borderId="24" xfId="0" applyNumberFormat="1" applyFont="1" applyBorder="1" applyAlignment="1">
      <alignment horizontal="center"/>
    </xf>
    <xf numFmtId="166" fontId="26" fillId="0" borderId="13" xfId="0" applyNumberFormat="1" applyFont="1" applyBorder="1"/>
    <xf numFmtId="166" fontId="26" fillId="34" borderId="13" xfId="0" applyNumberFormat="1" applyFont="1" applyFill="1" applyBorder="1"/>
    <xf numFmtId="0" fontId="25" fillId="0" borderId="13" xfId="0" applyFont="1" applyBorder="1"/>
    <xf numFmtId="166" fontId="25" fillId="0" borderId="13" xfId="0" applyNumberFormat="1" applyFont="1" applyBorder="1"/>
    <xf numFmtId="166" fontId="27" fillId="0" borderId="13" xfId="0" applyNumberFormat="1" applyFont="1" applyBorder="1"/>
    <xf numFmtId="166" fontId="26" fillId="0" borderId="14" xfId="0" applyNumberFormat="1" applyFont="1" applyBorder="1"/>
    <xf numFmtId="166" fontId="26" fillId="0" borderId="0" xfId="0" applyNumberFormat="1" applyFont="1"/>
    <xf numFmtId="167" fontId="26" fillId="0" borderId="0" xfId="0" applyNumberFormat="1" applyFont="1"/>
    <xf numFmtId="164" fontId="28" fillId="0" borderId="13" xfId="0" applyNumberFormat="1" applyFont="1" applyFill="1" applyBorder="1"/>
    <xf numFmtId="0" fontId="28" fillId="34" borderId="11" xfId="0" applyFont="1" applyFill="1" applyBorder="1"/>
    <xf numFmtId="0" fontId="28" fillId="34" borderId="13" xfId="0" applyFont="1" applyFill="1" applyBorder="1"/>
    <xf numFmtId="166" fontId="28" fillId="34" borderId="15" xfId="0" applyNumberFormat="1" applyFont="1" applyFill="1" applyBorder="1"/>
    <xf numFmtId="166" fontId="28" fillId="34" borderId="13" xfId="0" applyNumberFormat="1" applyFont="1" applyFill="1" applyBorder="1"/>
    <xf numFmtId="166" fontId="28" fillId="34" borderId="0" xfId="0" applyNumberFormat="1" applyFont="1" applyFill="1"/>
    <xf numFmtId="0" fontId="28" fillId="34" borderId="0" xfId="0" applyFont="1" applyFill="1"/>
    <xf numFmtId="164" fontId="28" fillId="0" borderId="13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5" fillId="0" borderId="20" xfId="0" applyFont="1" applyBorder="1"/>
    <xf numFmtId="166" fontId="25" fillId="0" borderId="25" xfId="0" applyNumberFormat="1" applyFont="1" applyBorder="1"/>
    <xf numFmtId="0" fontId="26" fillId="0" borderId="11" xfId="0" applyFont="1" applyBorder="1"/>
    <xf numFmtId="41" fontId="26" fillId="0" borderId="11" xfId="0" applyNumberFormat="1" applyFont="1" applyBorder="1"/>
    <xf numFmtId="166" fontId="26" fillId="0" borderId="11" xfId="0" applyNumberFormat="1" applyFont="1" applyBorder="1"/>
    <xf numFmtId="0" fontId="25" fillId="0" borderId="11" xfId="0" applyFont="1" applyBorder="1"/>
    <xf numFmtId="0" fontId="26" fillId="0" borderId="12" xfId="0" applyFont="1" applyBorder="1"/>
    <xf numFmtId="0" fontId="25" fillId="0" borderId="21" xfId="0" applyFont="1" applyBorder="1" applyAlignment="1">
      <alignment horizontal="center" wrapText="1"/>
    </xf>
    <xf numFmtId="0" fontId="25" fillId="0" borderId="19" xfId="0" applyFont="1" applyBorder="1"/>
    <xf numFmtId="0" fontId="26" fillId="0" borderId="15" xfId="0" applyFont="1" applyBorder="1"/>
    <xf numFmtId="164" fontId="26" fillId="0" borderId="15" xfId="0" applyNumberFormat="1" applyFont="1" applyBorder="1"/>
    <xf numFmtId="0" fontId="25" fillId="0" borderId="15" xfId="0" applyFont="1" applyBorder="1"/>
    <xf numFmtId="0" fontId="26" fillId="0" borderId="16" xfId="0" applyFont="1" applyBorder="1"/>
    <xf numFmtId="164" fontId="26" fillId="0" borderId="11" xfId="0" applyNumberFormat="1" applyFont="1" applyBorder="1"/>
    <xf numFmtId="164" fontId="25" fillId="0" borderId="15" xfId="0" applyNumberFormat="1" applyFont="1" applyBorder="1"/>
    <xf numFmtId="164" fontId="25" fillId="0" borderId="11" xfId="0" applyNumberFormat="1" applyFont="1" applyBorder="1"/>
    <xf numFmtId="164" fontId="28" fillId="0" borderId="13" xfId="0" applyNumberFormat="1" applyFont="1" applyFill="1" applyBorder="1" applyAlignment="1">
      <alignment horizontal="left"/>
    </xf>
    <xf numFmtId="166" fontId="19" fillId="0" borderId="10" xfId="0" applyNumberFormat="1" applyFont="1" applyBorder="1" applyAlignment="1">
      <alignment wrapText="1"/>
    </xf>
    <xf numFmtId="166" fontId="19" fillId="0" borderId="21" xfId="0" applyNumberFormat="1" applyFont="1" applyBorder="1" applyAlignment="1">
      <alignment wrapText="1"/>
    </xf>
    <xf numFmtId="166" fontId="19" fillId="0" borderId="10" xfId="42" applyNumberFormat="1" applyFont="1" applyBorder="1" applyAlignment="1">
      <alignment wrapText="1"/>
    </xf>
    <xf numFmtId="166" fontId="19" fillId="0" borderId="21" xfId="42" applyNumberFormat="1" applyFont="1" applyBorder="1" applyAlignment="1">
      <alignment wrapText="1"/>
    </xf>
    <xf numFmtId="166" fontId="19" fillId="0" borderId="10" xfId="0" applyNumberFormat="1" applyFont="1" applyBorder="1"/>
    <xf numFmtId="166" fontId="19" fillId="0" borderId="21" xfId="0" applyNumberFormat="1" applyFont="1" applyBorder="1"/>
    <xf numFmtId="166" fontId="19" fillId="0" borderId="26" xfId="0" applyNumberFormat="1" applyFont="1" applyBorder="1" applyAlignment="1">
      <alignment wrapText="1"/>
    </xf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7" xfId="0" applyFont="1" applyBorder="1"/>
    <xf numFmtId="166" fontId="18" fillId="0" borderId="13" xfId="0" applyNumberFormat="1" applyFont="1" applyBorder="1"/>
    <xf numFmtId="166" fontId="18" fillId="0" borderId="15" xfId="0" applyNumberFormat="1" applyFont="1" applyBorder="1"/>
    <xf numFmtId="166" fontId="18" fillId="0" borderId="28" xfId="0" applyNumberFormat="1" applyFont="1" applyBorder="1"/>
    <xf numFmtId="0" fontId="18" fillId="0" borderId="15" xfId="0" applyFont="1" applyBorder="1"/>
    <xf numFmtId="0" fontId="18" fillId="0" borderId="28" xfId="0" applyFont="1" applyBorder="1"/>
    <xf numFmtId="166" fontId="19" fillId="0" borderId="13" xfId="0" applyNumberFormat="1" applyFont="1" applyBorder="1"/>
    <xf numFmtId="166" fontId="19" fillId="0" borderId="15" xfId="0" applyNumberFormat="1" applyFont="1" applyBorder="1"/>
    <xf numFmtId="0" fontId="19" fillId="0" borderId="15" xfId="0" applyFont="1" applyBorder="1"/>
    <xf numFmtId="0" fontId="19" fillId="0" borderId="28" xfId="0" applyFont="1" applyBorder="1"/>
    <xf numFmtId="0" fontId="29" fillId="34" borderId="11" xfId="0" applyFont="1" applyFill="1" applyBorder="1"/>
    <xf numFmtId="166" fontId="29" fillId="34" borderId="13" xfId="0" applyNumberFormat="1" applyFont="1" applyFill="1" applyBorder="1"/>
    <xf numFmtId="0" fontId="29" fillId="34" borderId="0" xfId="0" applyFont="1" applyFill="1"/>
    <xf numFmtId="0" fontId="19" fillId="0" borderId="12" xfId="0" applyFont="1" applyBorder="1"/>
    <xf numFmtId="166" fontId="19" fillId="0" borderId="14" xfId="0" applyNumberFormat="1" applyFont="1" applyBorder="1"/>
    <xf numFmtId="166" fontId="18" fillId="0" borderId="0" xfId="0" applyNumberFormat="1" applyFont="1"/>
    <xf numFmtId="166" fontId="20" fillId="34" borderId="15" xfId="0" applyNumberFormat="1" applyFont="1" applyFill="1" applyBorder="1"/>
    <xf numFmtId="164" fontId="28" fillId="0" borderId="13" xfId="0" applyNumberFormat="1" applyFont="1" applyBorder="1"/>
    <xf numFmtId="164" fontId="28" fillId="33" borderId="13" xfId="0" applyNumberFormat="1" applyFont="1" applyFill="1" applyBorder="1"/>
    <xf numFmtId="164" fontId="29" fillId="0" borderId="0" xfId="0" applyNumberFormat="1" applyFont="1"/>
    <xf numFmtId="164" fontId="29" fillId="0" borderId="10" xfId="0" applyNumberFormat="1" applyFont="1" applyBorder="1" applyAlignment="1">
      <alignment wrapText="1"/>
    </xf>
    <xf numFmtId="164" fontId="29" fillId="0" borderId="21" xfId="0" applyNumberFormat="1" applyFont="1" applyBorder="1" applyAlignment="1">
      <alignment wrapText="1"/>
    </xf>
    <xf numFmtId="164" fontId="29" fillId="0" borderId="18" xfId="0" applyNumberFormat="1" applyFont="1" applyBorder="1"/>
    <xf numFmtId="164" fontId="29" fillId="0" borderId="13" xfId="0" applyNumberFormat="1" applyFont="1" applyBorder="1"/>
    <xf numFmtId="164" fontId="28" fillId="0" borderId="15" xfId="0" applyNumberFormat="1" applyFont="1" applyBorder="1"/>
    <xf numFmtId="164" fontId="29" fillId="0" borderId="13" xfId="0" applyNumberFormat="1" applyFont="1" applyFill="1" applyBorder="1"/>
    <xf numFmtId="164" fontId="28" fillId="33" borderId="15" xfId="0" applyNumberFormat="1" applyFont="1" applyFill="1" applyBorder="1"/>
    <xf numFmtId="164" fontId="29" fillId="0" borderId="13" xfId="0" applyNumberFormat="1" applyFont="1" applyBorder="1" applyAlignment="1">
      <alignment horizontal="left"/>
    </xf>
    <xf numFmtId="164" fontId="29" fillId="0" borderId="13" xfId="0" applyNumberFormat="1" applyFont="1" applyFill="1" applyBorder="1" applyAlignment="1">
      <alignment horizontal="left"/>
    </xf>
    <xf numFmtId="164" fontId="28" fillId="0" borderId="14" xfId="0" applyNumberFormat="1" applyFont="1" applyBorder="1"/>
    <xf numFmtId="164" fontId="28" fillId="0" borderId="0" xfId="0" applyNumberFormat="1" applyFont="1"/>
    <xf numFmtId="0" fontId="29" fillId="0" borderId="11" xfId="0" applyFont="1" applyBorder="1"/>
    <xf numFmtId="0" fontId="29" fillId="0" borderId="13" xfId="0" applyFont="1" applyBorder="1"/>
    <xf numFmtId="164" fontId="29" fillId="0" borderId="15" xfId="0" applyNumberFormat="1" applyFont="1" applyBorder="1"/>
    <xf numFmtId="0" fontId="29" fillId="0" borderId="0" xfId="0" applyFont="1"/>
    <xf numFmtId="164" fontId="25" fillId="0" borderId="0" xfId="0" applyNumberFormat="1" applyFont="1"/>
    <xf numFmtId="164" fontId="25" fillId="0" borderId="10" xfId="0" applyNumberFormat="1" applyFont="1" applyBorder="1"/>
    <xf numFmtId="164" fontId="25" fillId="0" borderId="18" xfId="0" applyNumberFormat="1" applyFont="1" applyBorder="1"/>
    <xf numFmtId="164" fontId="26" fillId="0" borderId="13" xfId="0" applyNumberFormat="1" applyFont="1" applyBorder="1"/>
    <xf numFmtId="164" fontId="25" fillId="0" borderId="13" xfId="0" applyNumberFormat="1" applyFont="1" applyBorder="1"/>
    <xf numFmtId="164" fontId="26" fillId="0" borderId="14" xfId="0" applyNumberFormat="1" applyFont="1" applyBorder="1"/>
    <xf numFmtId="164" fontId="26" fillId="0" borderId="0" xfId="0" applyNumberFormat="1" applyFont="1"/>
    <xf numFmtId="164" fontId="26" fillId="0" borderId="10" xfId="0" applyNumberFormat="1" applyFont="1" applyBorder="1"/>
    <xf numFmtId="164" fontId="26" fillId="0" borderId="18" xfId="0" applyNumberFormat="1" applyFont="1" applyBorder="1"/>
    <xf numFmtId="0" fontId="30" fillId="0" borderId="0" xfId="0" applyFont="1"/>
    <xf numFmtId="166" fontId="30" fillId="0" borderId="0" xfId="0" applyNumberFormat="1" applyFont="1"/>
    <xf numFmtId="0" fontId="30" fillId="0" borderId="10" xfId="0" applyFont="1" applyBorder="1"/>
    <xf numFmtId="0" fontId="30" fillId="0" borderId="10" xfId="0" applyFont="1" applyBorder="1" applyAlignment="1">
      <alignment wrapText="1"/>
    </xf>
    <xf numFmtId="166" fontId="30" fillId="0" borderId="10" xfId="0" applyNumberFormat="1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1" fillId="0" borderId="13" xfId="0" applyFont="1" applyBorder="1"/>
    <xf numFmtId="43" fontId="31" fillId="0" borderId="13" xfId="0" applyNumberFormat="1" applyFont="1" applyBorder="1"/>
    <xf numFmtId="41" fontId="31" fillId="0" borderId="13" xfId="0" applyNumberFormat="1" applyFont="1" applyBorder="1"/>
    <xf numFmtId="166" fontId="31" fillId="0" borderId="13" xfId="0" applyNumberFormat="1" applyFont="1" applyBorder="1"/>
    <xf numFmtId="43" fontId="31" fillId="0" borderId="11" xfId="0" applyNumberFormat="1" applyFont="1" applyBorder="1"/>
    <xf numFmtId="166" fontId="31" fillId="0" borderId="18" xfId="0" applyNumberFormat="1" applyFont="1" applyBorder="1"/>
    <xf numFmtId="0" fontId="31" fillId="0" borderId="0" xfId="0" applyFont="1"/>
    <xf numFmtId="0" fontId="31" fillId="0" borderId="29" xfId="0" applyFont="1" applyBorder="1"/>
    <xf numFmtId="43" fontId="31" fillId="0" borderId="29" xfId="0" applyNumberFormat="1" applyFont="1" applyBorder="1"/>
    <xf numFmtId="41" fontId="31" fillId="0" borderId="29" xfId="0" applyNumberFormat="1" applyFont="1" applyBorder="1"/>
    <xf numFmtId="43" fontId="31" fillId="0" borderId="30" xfId="0" applyNumberFormat="1" applyFont="1" applyBorder="1"/>
    <xf numFmtId="166" fontId="31" fillId="0" borderId="29" xfId="0" applyNumberFormat="1" applyFont="1" applyBorder="1"/>
    <xf numFmtId="0" fontId="31" fillId="0" borderId="30" xfId="0" applyFont="1" applyBorder="1"/>
    <xf numFmtId="43" fontId="30" fillId="0" borderId="10" xfId="0" applyNumberFormat="1" applyFont="1" applyBorder="1"/>
    <xf numFmtId="41" fontId="30" fillId="0" borderId="10" xfId="0" applyNumberFormat="1" applyFont="1" applyBorder="1"/>
    <xf numFmtId="166" fontId="30" fillId="0" borderId="10" xfId="0" applyNumberFormat="1" applyFont="1" applyBorder="1"/>
    <xf numFmtId="43" fontId="30" fillId="0" borderId="20" xfId="0" applyNumberFormat="1" applyFont="1" applyBorder="1"/>
    <xf numFmtId="166" fontId="31" fillId="0" borderId="0" xfId="0" applyNumberFormat="1" applyFont="1"/>
    <xf numFmtId="167" fontId="31" fillId="0" borderId="0" xfId="0" applyNumberFormat="1" applyFont="1"/>
    <xf numFmtId="43" fontId="31" fillId="0" borderId="0" xfId="0" applyNumberFormat="1" applyFont="1"/>
    <xf numFmtId="165" fontId="30" fillId="0" borderId="0" xfId="0" applyNumberFormat="1" applyFont="1"/>
    <xf numFmtId="165" fontId="30" fillId="0" borderId="10" xfId="0" applyNumberFormat="1" applyFont="1" applyBorder="1" applyAlignment="1">
      <alignment wrapText="1"/>
    </xf>
    <xf numFmtId="165" fontId="31" fillId="0" borderId="13" xfId="0" applyNumberFormat="1" applyFont="1" applyBorder="1"/>
    <xf numFmtId="165" fontId="31" fillId="0" borderId="29" xfId="0" applyNumberFormat="1" applyFont="1" applyBorder="1"/>
    <xf numFmtId="165" fontId="30" fillId="0" borderId="10" xfId="0" applyNumberFormat="1" applyFont="1" applyBorder="1"/>
    <xf numFmtId="165" fontId="31" fillId="0" borderId="0" xfId="0" applyNumberFormat="1" applyFont="1"/>
    <xf numFmtId="166" fontId="30" fillId="0" borderId="20" xfId="0" applyNumberFormat="1" applyFont="1" applyBorder="1" applyAlignment="1">
      <alignment wrapText="1"/>
    </xf>
    <xf numFmtId="166" fontId="31" fillId="0" borderId="11" xfId="0" applyNumberFormat="1" applyFont="1" applyBorder="1"/>
    <xf numFmtId="166" fontId="31" fillId="0" borderId="30" xfId="0" applyNumberFormat="1" applyFont="1" applyBorder="1"/>
    <xf numFmtId="166" fontId="30" fillId="0" borderId="20" xfId="0" applyNumberFormat="1" applyFont="1" applyBorder="1"/>
    <xf numFmtId="164" fontId="28" fillId="34" borderId="15" xfId="0" applyNumberFormat="1" applyFont="1" applyFill="1" applyBorder="1"/>
    <xf numFmtId="164" fontId="28" fillId="34" borderId="15" xfId="0" applyNumberFormat="1" applyFont="1" applyFill="1" applyBorder="1" applyAlignment="1">
      <alignment horizontal="left"/>
    </xf>
    <xf numFmtId="164" fontId="28" fillId="34" borderId="13" xfId="0" applyNumberFormat="1" applyFont="1" applyFill="1" applyBorder="1"/>
    <xf numFmtId="164" fontId="28" fillId="0" borderId="15" xfId="0" applyNumberFormat="1" applyFont="1" applyFill="1" applyBorder="1" applyAlignment="1">
      <alignment horizontal="left"/>
    </xf>
    <xf numFmtId="164" fontId="28" fillId="0" borderId="15" xfId="0" applyNumberFormat="1" applyFont="1" applyFill="1" applyBorder="1"/>
    <xf numFmtId="0" fontId="19" fillId="0" borderId="0" xfId="0" applyFont="1" applyBorder="1"/>
    <xf numFmtId="164" fontId="19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0" fontId="16" fillId="0" borderId="0" xfId="0" applyFont="1"/>
    <xf numFmtId="164" fontId="16" fillId="0" borderId="0" xfId="0" applyNumberFormat="1" applyFont="1"/>
    <xf numFmtId="164" fontId="19" fillId="0" borderId="19" xfId="0" applyNumberFormat="1" applyFont="1" applyBorder="1" applyAlignment="1">
      <alignment horizontal="left"/>
    </xf>
    <xf numFmtId="164" fontId="29" fillId="0" borderId="15" xfId="0" applyNumberFormat="1" applyFont="1" applyBorder="1" applyAlignment="1">
      <alignment horizontal="left"/>
    </xf>
    <xf numFmtId="164" fontId="21" fillId="0" borderId="19" xfId="0" applyNumberFormat="1" applyFont="1" applyFill="1" applyBorder="1"/>
    <xf numFmtId="164" fontId="21" fillId="0" borderId="15" xfId="0" applyNumberFormat="1" applyFont="1" applyFill="1" applyBorder="1"/>
    <xf numFmtId="164" fontId="20" fillId="0" borderId="15" xfId="0" applyNumberFormat="1" applyFont="1" applyFill="1" applyBorder="1" applyAlignment="1">
      <alignment horizontal="left"/>
    </xf>
    <xf numFmtId="164" fontId="20" fillId="0" borderId="15" xfId="0" applyNumberFormat="1" applyFont="1" applyFill="1" applyBorder="1"/>
    <xf numFmtId="164" fontId="18" fillId="0" borderId="15" xfId="0" applyNumberFormat="1" applyFont="1" applyFill="1" applyBorder="1"/>
    <xf numFmtId="164" fontId="29" fillId="0" borderId="15" xfId="0" applyNumberFormat="1" applyFont="1" applyFill="1" applyBorder="1"/>
    <xf numFmtId="164" fontId="21" fillId="0" borderId="15" xfId="0" applyNumberFormat="1" applyFont="1" applyFill="1" applyBorder="1" applyAlignment="1">
      <alignment horizontal="left"/>
    </xf>
    <xf numFmtId="164" fontId="20" fillId="0" borderId="16" xfId="0" applyNumberFormat="1" applyFont="1" applyFill="1" applyBorder="1"/>
    <xf numFmtId="164" fontId="29" fillId="0" borderId="19" xfId="0" applyNumberFormat="1" applyFont="1" applyBorder="1"/>
    <xf numFmtId="164" fontId="28" fillId="0" borderId="15" xfId="0" applyNumberFormat="1" applyFont="1" applyBorder="1" applyAlignment="1">
      <alignment horizontal="left"/>
    </xf>
    <xf numFmtId="164" fontId="29" fillId="0" borderId="15" xfId="0" applyNumberFormat="1" applyFont="1" applyFill="1" applyBorder="1" applyAlignment="1">
      <alignment horizontal="left"/>
    </xf>
    <xf numFmtId="164" fontId="28" fillId="0" borderId="16" xfId="0" applyNumberFormat="1" applyFont="1" applyBorder="1"/>
    <xf numFmtId="164" fontId="25" fillId="0" borderId="20" xfId="0" applyNumberFormat="1" applyFont="1" applyBorder="1" applyAlignment="1">
      <alignment horizontal="center" wrapText="1"/>
    </xf>
    <xf numFmtId="164" fontId="25" fillId="0" borderId="17" xfId="0" applyNumberFormat="1" applyFont="1" applyBorder="1"/>
    <xf numFmtId="164" fontId="26" fillId="34" borderId="13" xfId="0" applyNumberFormat="1" applyFont="1" applyFill="1" applyBorder="1"/>
    <xf numFmtId="164" fontId="26" fillId="0" borderId="12" xfId="0" applyNumberFormat="1" applyFont="1" applyBorder="1"/>
    <xf numFmtId="0" fontId="18" fillId="34" borderId="11" xfId="0" applyFont="1" applyFill="1" applyBorder="1"/>
    <xf numFmtId="0" fontId="18" fillId="34" borderId="13" xfId="0" applyFont="1" applyFill="1" applyBorder="1"/>
    <xf numFmtId="164" fontId="18" fillId="34" borderId="15" xfId="0" applyNumberFormat="1" applyFont="1" applyFill="1" applyBorder="1" applyAlignment="1">
      <alignment horizontal="left"/>
    </xf>
    <xf numFmtId="164" fontId="18" fillId="34" borderId="13" xfId="0" applyNumberFormat="1" applyFont="1" applyFill="1" applyBorder="1"/>
    <xf numFmtId="164" fontId="18" fillId="34" borderId="15" xfId="0" applyNumberFormat="1" applyFont="1" applyFill="1" applyBorder="1"/>
    <xf numFmtId="0" fontId="18" fillId="34" borderId="0" xfId="0" applyFont="1" applyFill="1"/>
    <xf numFmtId="164" fontId="19" fillId="0" borderId="31" xfId="0" applyNumberFormat="1" applyFont="1" applyBorder="1"/>
    <xf numFmtId="164" fontId="21" fillId="0" borderId="31" xfId="0" applyNumberFormat="1" applyFont="1" applyBorder="1"/>
    <xf numFmtId="164" fontId="19" fillId="0" borderId="31" xfId="0" applyNumberFormat="1" applyFont="1" applyBorder="1" applyAlignment="1">
      <alignment horizontal="left"/>
    </xf>
    <xf numFmtId="164" fontId="18" fillId="0" borderId="31" xfId="0" applyNumberFormat="1" applyFont="1" applyBorder="1"/>
    <xf numFmtId="164" fontId="18" fillId="0" borderId="31" xfId="0" applyNumberFormat="1" applyFont="1" applyBorder="1" applyAlignment="1">
      <alignment horizontal="left"/>
    </xf>
    <xf numFmtId="164" fontId="20" fillId="0" borderId="31" xfId="0" applyNumberFormat="1" applyFont="1" applyBorder="1"/>
    <xf numFmtId="164" fontId="21" fillId="0" borderId="31" xfId="0" applyNumberFormat="1" applyFont="1" applyBorder="1" applyAlignment="1">
      <alignment horizontal="left"/>
    </xf>
    <xf numFmtId="164" fontId="18" fillId="34" borderId="31" xfId="0" applyNumberFormat="1" applyFont="1" applyFill="1" applyBorder="1"/>
    <xf numFmtId="164" fontId="20" fillId="34" borderId="31" xfId="0" applyNumberFormat="1" applyFont="1" applyFill="1" applyBorder="1"/>
    <xf numFmtId="164" fontId="19" fillId="0" borderId="32" xfId="0" applyNumberFormat="1" applyFont="1" applyBorder="1"/>
    <xf numFmtId="164" fontId="18" fillId="0" borderId="32" xfId="0" applyNumberFormat="1" applyFont="1" applyBorder="1"/>
    <xf numFmtId="164" fontId="19" fillId="0" borderId="32" xfId="0" applyNumberFormat="1" applyFont="1" applyBorder="1" applyAlignment="1">
      <alignment horizontal="left"/>
    </xf>
    <xf numFmtId="164" fontId="18" fillId="34" borderId="32" xfId="0" applyNumberFormat="1" applyFont="1" applyFill="1" applyBorder="1"/>
    <xf numFmtId="164" fontId="19" fillId="0" borderId="33" xfId="0" applyNumberFormat="1" applyFont="1" applyBorder="1" applyAlignment="1">
      <alignment horizontal="left"/>
    </xf>
    <xf numFmtId="164" fontId="19" fillId="0" borderId="33" xfId="0" applyNumberFormat="1" applyFont="1" applyBorder="1"/>
    <xf numFmtId="164" fontId="21" fillId="0" borderId="33" xfId="0" applyNumberFormat="1" applyFont="1" applyBorder="1" applyAlignment="1">
      <alignment horizontal="left"/>
    </xf>
    <xf numFmtId="164" fontId="19" fillId="0" borderId="34" xfId="0" applyNumberFormat="1" applyFont="1" applyBorder="1" applyAlignment="1">
      <alignment horizontal="left"/>
    </xf>
    <xf numFmtId="164" fontId="19" fillId="0" borderId="35" xfId="0" applyNumberFormat="1" applyFont="1" applyBorder="1" applyAlignment="1">
      <alignment horizontal="left"/>
    </xf>
    <xf numFmtId="164" fontId="18" fillId="0" borderId="35" xfId="0" applyNumberFormat="1" applyFont="1" applyBorder="1" applyAlignment="1">
      <alignment horizontal="left"/>
    </xf>
    <xf numFmtId="164" fontId="19" fillId="0" borderId="36" xfId="0" applyNumberFormat="1" applyFont="1" applyBorder="1" applyAlignment="1">
      <alignment horizontal="left"/>
    </xf>
    <xf numFmtId="0" fontId="19" fillId="0" borderId="14" xfId="0" applyFont="1" applyBorder="1"/>
    <xf numFmtId="164" fontId="19" fillId="0" borderId="16" xfId="0" applyNumberFormat="1" applyFont="1" applyBorder="1" applyAlignment="1">
      <alignment horizontal="left"/>
    </xf>
    <xf numFmtId="164" fontId="19" fillId="0" borderId="35" xfId="0" applyNumberFormat="1" applyFont="1" applyBorder="1"/>
    <xf numFmtId="164" fontId="18" fillId="0" borderId="35" xfId="0" applyNumberFormat="1" applyFont="1" applyBorder="1"/>
    <xf numFmtId="164" fontId="18" fillId="34" borderId="35" xfId="0" applyNumberFormat="1" applyFont="1" applyFill="1" applyBorder="1"/>
    <xf numFmtId="164" fontId="19" fillId="0" borderId="14" xfId="0" applyNumberFormat="1" applyFont="1" applyBorder="1" applyAlignment="1">
      <alignment horizontal="left"/>
    </xf>
    <xf numFmtId="164" fontId="19" fillId="0" borderId="14" xfId="0" applyNumberFormat="1" applyFont="1" applyBorder="1"/>
    <xf numFmtId="164" fontId="21" fillId="0" borderId="16" xfId="0" applyNumberFormat="1" applyFont="1" applyBorder="1" applyAlignment="1">
      <alignment horizontal="left"/>
    </xf>
    <xf numFmtId="164" fontId="18" fillId="0" borderId="19" xfId="0" applyNumberFormat="1" applyFont="1" applyBorder="1"/>
    <xf numFmtId="164" fontId="21" fillId="0" borderId="19" xfId="0" applyNumberFormat="1" applyFont="1" applyBorder="1"/>
    <xf numFmtId="0" fontId="32" fillId="34" borderId="0" xfId="0" applyFont="1" applyFill="1"/>
    <xf numFmtId="41" fontId="18" fillId="34" borderId="15" xfId="0" applyNumberFormat="1" applyFont="1" applyFill="1" applyBorder="1" applyAlignment="1">
      <alignment horizontal="left"/>
    </xf>
    <xf numFmtId="41" fontId="18" fillId="34" borderId="13" xfId="0" applyNumberFormat="1" applyFont="1" applyFill="1" applyBorder="1"/>
    <xf numFmtId="41" fontId="18" fillId="34" borderId="15" xfId="0" applyNumberFormat="1" applyFont="1" applyFill="1" applyBorder="1"/>
    <xf numFmtId="41" fontId="20" fillId="34" borderId="15" xfId="0" applyNumberFormat="1" applyFont="1" applyFill="1" applyBorder="1"/>
    <xf numFmtId="164" fontId="18" fillId="33" borderId="31" xfId="0" applyNumberFormat="1" applyFont="1" applyFill="1" applyBorder="1"/>
    <xf numFmtId="164" fontId="20" fillId="33" borderId="31" xfId="0" applyNumberFormat="1" applyFont="1" applyFill="1" applyBorder="1"/>
    <xf numFmtId="164" fontId="20" fillId="0" borderId="32" xfId="0" applyNumberFormat="1" applyFont="1" applyBorder="1"/>
    <xf numFmtId="164" fontId="19" fillId="0" borderId="37" xfId="0" applyNumberFormat="1" applyFont="1" applyBorder="1"/>
    <xf numFmtId="164" fontId="21" fillId="0" borderId="37" xfId="0" applyNumberFormat="1" applyFont="1" applyBorder="1"/>
    <xf numFmtId="164" fontId="19" fillId="0" borderId="38" xfId="0" applyNumberFormat="1" applyFont="1" applyBorder="1"/>
    <xf numFmtId="164" fontId="19" fillId="0" borderId="39" xfId="0" applyNumberFormat="1" applyFont="1" applyBorder="1"/>
    <xf numFmtId="164" fontId="19" fillId="0" borderId="39" xfId="0" applyNumberFormat="1" applyFont="1" applyBorder="1" applyAlignment="1">
      <alignment wrapText="1"/>
    </xf>
    <xf numFmtId="164" fontId="21" fillId="0" borderId="39" xfId="0" applyNumberFormat="1" applyFont="1" applyBorder="1"/>
    <xf numFmtId="164" fontId="19" fillId="0" borderId="40" xfId="0" applyNumberFormat="1" applyFont="1" applyBorder="1" applyAlignment="1">
      <alignment wrapText="1"/>
    </xf>
    <xf numFmtId="164" fontId="19" fillId="0" borderId="41" xfId="0" applyNumberFormat="1" applyFont="1" applyBorder="1"/>
    <xf numFmtId="164" fontId="19" fillId="0" borderId="42" xfId="0" applyNumberFormat="1" applyFont="1" applyBorder="1"/>
    <xf numFmtId="164" fontId="18" fillId="33" borderId="35" xfId="0" applyNumberFormat="1" applyFont="1" applyFill="1" applyBorder="1"/>
    <xf numFmtId="164" fontId="28" fillId="34" borderId="13" xfId="0" applyNumberFormat="1" applyFont="1" applyFill="1" applyBorder="1" applyAlignment="1">
      <alignment horizontal="left"/>
    </xf>
    <xf numFmtId="164" fontId="28" fillId="33" borderId="13" xfId="0" applyNumberFormat="1" applyFont="1" applyFill="1" applyBorder="1" applyAlignment="1">
      <alignment horizontal="left"/>
    </xf>
    <xf numFmtId="0" fontId="31" fillId="0" borderId="18" xfId="0" applyFont="1" applyBorder="1"/>
    <xf numFmtId="0" fontId="26" fillId="0" borderId="22" xfId="0" applyFont="1" applyBorder="1"/>
    <xf numFmtId="0" fontId="19" fillId="0" borderId="0" xfId="0" applyFont="1" applyAlignment="1">
      <alignment horizontal="left"/>
    </xf>
    <xf numFmtId="0" fontId="28" fillId="0" borderId="11" xfId="0" applyFont="1" applyFill="1" applyBorder="1"/>
    <xf numFmtId="0" fontId="28" fillId="0" borderId="13" xfId="0" applyFont="1" applyFill="1" applyBorder="1"/>
    <xf numFmtId="166" fontId="28" fillId="0" borderId="15" xfId="0" applyNumberFormat="1" applyFont="1" applyFill="1" applyBorder="1"/>
    <xf numFmtId="166" fontId="28" fillId="0" borderId="13" xfId="0" applyNumberFormat="1" applyFont="1" applyFill="1" applyBorder="1"/>
    <xf numFmtId="166" fontId="20" fillId="0" borderId="15" xfId="0" applyNumberFormat="1" applyFont="1" applyFill="1" applyBorder="1"/>
    <xf numFmtId="166" fontId="28" fillId="0" borderId="0" xfId="0" applyNumberFormat="1" applyFont="1" applyFill="1"/>
    <xf numFmtId="0" fontId="28" fillId="0" borderId="0" xfId="0" applyFont="1" applyFill="1"/>
    <xf numFmtId="0" fontId="18" fillId="0" borderId="11" xfId="0" applyFont="1" applyFill="1" applyBorder="1"/>
    <xf numFmtId="0" fontId="18" fillId="0" borderId="13" xfId="0" applyFont="1" applyFill="1" applyBorder="1"/>
    <xf numFmtId="164" fontId="18" fillId="0" borderId="15" xfId="0" applyNumberFormat="1" applyFont="1" applyFill="1" applyBorder="1" applyAlignment="1">
      <alignment horizontal="left"/>
    </xf>
    <xf numFmtId="164" fontId="18" fillId="0" borderId="13" xfId="0" applyNumberFormat="1" applyFont="1" applyFill="1" applyBorder="1"/>
    <xf numFmtId="0" fontId="18" fillId="0" borderId="0" xfId="0" applyFont="1" applyFill="1"/>
    <xf numFmtId="164" fontId="18" fillId="0" borderId="13" xfId="0" applyNumberFormat="1" applyFont="1" applyFill="1" applyBorder="1" applyAlignment="1">
      <alignment horizontal="left"/>
    </xf>
    <xf numFmtId="164" fontId="18" fillId="0" borderId="35" xfId="0" applyNumberFormat="1" applyFont="1" applyFill="1" applyBorder="1"/>
    <xf numFmtId="164" fontId="18" fillId="0" borderId="31" xfId="0" applyNumberFormat="1" applyFont="1" applyFill="1" applyBorder="1"/>
    <xf numFmtId="164" fontId="20" fillId="0" borderId="31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1720850</xdr:colOff>
      <xdr:row>7</xdr:row>
      <xdr:rowOff>222250</xdr:rowOff>
    </xdr:from>
    <xdr:to>
      <xdr:col>0</xdr:col>
      <xdr:colOff>5762625</xdr:colOff>
      <xdr:row>17</xdr:row>
      <xdr:rowOff>187325</xdr:rowOff>
    </xdr:to>
    <xdr:pic>
      <xdr:nvPicPr>
        <xdr:cNvPr id="2" name="Picture 1" descr="C:\Documents and Settings\ModishaN\My Documents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0850" y="2333625"/>
          <a:ext cx="4041775" cy="2981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Adjustment%20Budget%202015-16%202016-02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hubab/Documents/beaula/BUDGETS/2015%202016/final/Final%20Draft%20budget%202015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hubab/Documents/beaula/BUDGETS/2015%202016/Approved%20budget/Supporting%20Documents/Approved%20Budget%202015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hubab/Documents/beaula/Section%2071%20Reports/Schedule%20C%20reports/2015%202016/C%20Schedule%20-%20Ver%202%207(1)%20_December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sons"/>
      <sheetName val="Cover"/>
      <sheetName val="Summary"/>
      <sheetName val="All Departments"/>
      <sheetName val="Corporate Services"/>
      <sheetName val="LEDP"/>
      <sheetName val="MM"/>
      <sheetName val="Mayor's Office"/>
      <sheetName val="budget &amp; Treasury"/>
      <sheetName val="Community services"/>
      <sheetName val="Tech-Roads"/>
      <sheetName val="Tech-Electricity"/>
      <sheetName val="Tech-Water"/>
    </sheetNames>
    <sheetDataSet>
      <sheetData sheetId="0"/>
      <sheetData sheetId="1"/>
      <sheetData sheetId="2"/>
      <sheetData sheetId="3">
        <row r="387">
          <cell r="C387">
            <v>-182667005</v>
          </cell>
          <cell r="D387">
            <v>-14626932.99</v>
          </cell>
          <cell r="E387">
            <v>0</v>
          </cell>
          <cell r="F387">
            <v>-107856487.33</v>
          </cell>
          <cell r="G387">
            <v>-74810517.670000002</v>
          </cell>
          <cell r="H387">
            <v>59.04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utive summary"/>
      <sheetName val="Revenue per source"/>
      <sheetName val="ALL DEPARTMENTS"/>
      <sheetName val="OPEX Per Dept"/>
      <sheetName val="OPEX Per type"/>
      <sheetName val="OPEX per types"/>
      <sheetName val="CAPEX per dept"/>
      <sheetName val="CAPEX per source"/>
      <sheetName val="Revenue per Dept"/>
      <sheetName val="Corporate"/>
      <sheetName val="LED"/>
      <sheetName val="MM"/>
      <sheetName val="Mayor"/>
      <sheetName val="Finance"/>
      <sheetName val="Community"/>
      <sheetName val="Technical"/>
    </sheetNames>
    <sheetDataSet>
      <sheetData sheetId="0"/>
      <sheetData sheetId="1"/>
      <sheetData sheetId="2"/>
      <sheetData sheetId="3"/>
      <sheetData sheetId="4">
        <row r="598">
          <cell r="I598">
            <v>0</v>
          </cell>
        </row>
        <row r="603">
          <cell r="J603">
            <v>1000000</v>
          </cell>
        </row>
        <row r="605">
          <cell r="J605">
            <v>1700000</v>
          </cell>
        </row>
        <row r="606">
          <cell r="J606">
            <v>400000</v>
          </cell>
        </row>
        <row r="636">
          <cell r="I636">
            <v>-2000000</v>
          </cell>
          <cell r="J636">
            <v>-3550000</v>
          </cell>
        </row>
        <row r="929">
          <cell r="I929">
            <v>-957000</v>
          </cell>
          <cell r="J929">
            <v>-1033000</v>
          </cell>
        </row>
        <row r="992">
          <cell r="I992">
            <v>0</v>
          </cell>
          <cell r="J992">
            <v>70000</v>
          </cell>
        </row>
        <row r="1047">
          <cell r="I1047">
            <v>100457.1</v>
          </cell>
        </row>
        <row r="1136">
          <cell r="I1136">
            <v>700000</v>
          </cell>
          <cell r="J1136">
            <v>800000</v>
          </cell>
        </row>
        <row r="1141">
          <cell r="J1141">
            <v>700000</v>
          </cell>
        </row>
        <row r="1237">
          <cell r="I1237">
            <v>-31097000</v>
          </cell>
          <cell r="J1237">
            <v>-32715000</v>
          </cell>
        </row>
        <row r="1396">
          <cell r="I1396">
            <v>1500000</v>
          </cell>
          <cell r="J1396">
            <v>1800000</v>
          </cell>
        </row>
        <row r="1397">
          <cell r="I1397">
            <v>0</v>
          </cell>
          <cell r="J1397">
            <v>2500000</v>
          </cell>
        </row>
        <row r="1453">
          <cell r="I1453">
            <v>1500000</v>
          </cell>
        </row>
        <row r="1467">
          <cell r="I1467">
            <v>-1500000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of content"/>
      <sheetName val="Executive summary"/>
      <sheetName val="Revenue per source"/>
      <sheetName val="ALL DEPARTMENTS"/>
      <sheetName val="OPEX Per Dept"/>
      <sheetName val="OPEX Per type"/>
      <sheetName val="OPEX per types"/>
      <sheetName val="CAPEX per dept"/>
      <sheetName val="CAPEX per source"/>
      <sheetName val="Revenue per Dept"/>
      <sheetName val="Technical Services"/>
      <sheetName val="Corporate services"/>
      <sheetName val="LED &amp; P"/>
      <sheetName val="Community services"/>
      <sheetName val="Finance"/>
      <sheetName val="MM"/>
      <sheetName val="Mayor"/>
    </sheetNames>
    <sheetDataSet>
      <sheetData sheetId="0"/>
      <sheetData sheetId="1"/>
      <sheetData sheetId="2"/>
      <sheetData sheetId="3"/>
      <sheetData sheetId="4">
        <row r="52">
          <cell r="H52">
            <v>76301596.152798533</v>
          </cell>
        </row>
        <row r="171">
          <cell r="H171">
            <v>48195368.930000007</v>
          </cell>
        </row>
        <row r="191">
          <cell r="H191">
            <v>4385591.5040000007</v>
          </cell>
        </row>
        <row r="200">
          <cell r="H200">
            <v>0</v>
          </cell>
          <cell r="I200">
            <v>0</v>
          </cell>
          <cell r="J200">
            <v>0</v>
          </cell>
        </row>
        <row r="206">
          <cell r="H206">
            <v>4232000</v>
          </cell>
        </row>
        <row r="390">
          <cell r="I390">
            <v>14000000</v>
          </cell>
        </row>
        <row r="391">
          <cell r="I391">
            <v>4664550</v>
          </cell>
          <cell r="J391">
            <v>4907250</v>
          </cell>
        </row>
        <row r="395">
          <cell r="I395">
            <v>10877600</v>
          </cell>
        </row>
        <row r="521">
          <cell r="H521">
            <v>-393275.272</v>
          </cell>
        </row>
        <row r="541">
          <cell r="I541">
            <v>500000</v>
          </cell>
        </row>
        <row r="542">
          <cell r="J542">
            <v>900000</v>
          </cell>
        </row>
        <row r="544">
          <cell r="I544">
            <v>100000</v>
          </cell>
        </row>
        <row r="546">
          <cell r="I546">
            <v>80000</v>
          </cell>
        </row>
        <row r="550">
          <cell r="I550">
            <v>300000</v>
          </cell>
          <cell r="J550">
            <v>200000</v>
          </cell>
        </row>
        <row r="651">
          <cell r="H651">
            <v>-549048.12800000003</v>
          </cell>
        </row>
        <row r="670">
          <cell r="I670">
            <v>1000000</v>
          </cell>
          <cell r="J670">
            <v>1500000</v>
          </cell>
        </row>
        <row r="671">
          <cell r="I671">
            <v>500000</v>
          </cell>
          <cell r="J671">
            <v>500000</v>
          </cell>
        </row>
        <row r="673">
          <cell r="I673">
            <v>45000</v>
          </cell>
        </row>
        <row r="674">
          <cell r="I674">
            <v>45000</v>
          </cell>
        </row>
        <row r="675">
          <cell r="I675">
            <v>45000</v>
          </cell>
        </row>
        <row r="971">
          <cell r="H971">
            <v>-125699771.896</v>
          </cell>
        </row>
        <row r="1127">
          <cell r="H1127">
            <v>-11227716.69912</v>
          </cell>
        </row>
        <row r="1266">
          <cell r="H1266">
            <v>-31017000</v>
          </cell>
          <cell r="I1266">
            <v>-31097000</v>
          </cell>
          <cell r="J1266">
            <v>-32715000</v>
          </cell>
        </row>
        <row r="1283">
          <cell r="I1283">
            <v>0</v>
          </cell>
          <cell r="J1283">
            <v>0</v>
          </cell>
        </row>
        <row r="1287">
          <cell r="J1287">
            <v>0</v>
          </cell>
        </row>
        <row r="1292">
          <cell r="I1292">
            <v>15900000</v>
          </cell>
          <cell r="J1292">
            <v>5700000</v>
          </cell>
        </row>
        <row r="1301">
          <cell r="J1301">
            <v>12000000</v>
          </cell>
        </row>
        <row r="1302">
          <cell r="J1302">
            <v>14172000</v>
          </cell>
        </row>
        <row r="1394">
          <cell r="H1394">
            <v>-10910785.172016</v>
          </cell>
          <cell r="I1394">
            <v>-12102755.528167346</v>
          </cell>
          <cell r="J1394">
            <v>-13424846.069475776</v>
          </cell>
        </row>
        <row r="1410">
          <cell r="I1410">
            <v>550000</v>
          </cell>
        </row>
        <row r="1413">
          <cell r="I1413">
            <v>200000</v>
          </cell>
        </row>
        <row r="1415">
          <cell r="I1415">
            <v>1800000</v>
          </cell>
        </row>
        <row r="1499">
          <cell r="H1499">
            <v>-2869407.9759999998</v>
          </cell>
          <cell r="I1499">
            <v>-2950203.0465839999</v>
          </cell>
          <cell r="J1499">
            <v>-3031414.417192704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6">
          <cell r="I146">
            <v>500000</v>
          </cell>
        </row>
        <row r="149">
          <cell r="I149">
            <v>300000</v>
          </cell>
        </row>
        <row r="150">
          <cell r="I150">
            <v>120000</v>
          </cell>
        </row>
      </sheetData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(1)"/>
      <sheetName val="SC7(2)"/>
      <sheetName val="SC8"/>
      <sheetName val="SC9"/>
      <sheetName val="SC10"/>
      <sheetName val="SC11"/>
      <sheetName val="SC12"/>
      <sheetName val="SC13a"/>
      <sheetName val="SC13b"/>
      <sheetName val="SC13c"/>
      <sheetName val="SC13d"/>
      <sheetName val="SC71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9">
          <cell r="F29">
            <v>807154</v>
          </cell>
          <cell r="G29">
            <v>4564783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opLeftCell="A11" zoomScaleNormal="100" workbookViewId="0">
      <selection activeCell="A24" sqref="A24"/>
    </sheetView>
  </sheetViews>
  <sheetFormatPr defaultRowHeight="23.25" x14ac:dyDescent="0.35"/>
  <cols>
    <col min="1" max="1" width="95" style="82" customWidth="1"/>
    <col min="2" max="16384" width="9.140625" style="82"/>
  </cols>
  <sheetData>
    <row r="1" spans="1:1" x14ac:dyDescent="0.35">
      <c r="A1" s="81"/>
    </row>
    <row r="2" spans="1:1" x14ac:dyDescent="0.35">
      <c r="A2" s="81"/>
    </row>
    <row r="3" spans="1:1" x14ac:dyDescent="0.35">
      <c r="A3" s="81"/>
    </row>
    <row r="5" spans="1:1" x14ac:dyDescent="0.35">
      <c r="A5" s="81"/>
    </row>
    <row r="6" spans="1:1" x14ac:dyDescent="0.35">
      <c r="A6" s="81"/>
    </row>
    <row r="7" spans="1:1" x14ac:dyDescent="0.35">
      <c r="A7" s="81"/>
    </row>
    <row r="8" spans="1:1" x14ac:dyDescent="0.35">
      <c r="A8" s="83"/>
    </row>
    <row r="9" spans="1:1" x14ac:dyDescent="0.35">
      <c r="A9" s="83"/>
    </row>
    <row r="10" spans="1:1" x14ac:dyDescent="0.35">
      <c r="A10" s="81"/>
    </row>
    <row r="11" spans="1:1" x14ac:dyDescent="0.35">
      <c r="A11" s="84"/>
    </row>
    <row r="13" spans="1:1" x14ac:dyDescent="0.35">
      <c r="A13" s="85"/>
    </row>
    <row r="21" spans="1:1" ht="26.25" x14ac:dyDescent="0.4">
      <c r="A21" s="86" t="s">
        <v>1107</v>
      </c>
    </row>
    <row r="22" spans="1:1" ht="26.25" x14ac:dyDescent="0.4">
      <c r="A22" s="86" t="s">
        <v>1012</v>
      </c>
    </row>
    <row r="23" spans="1:1" s="87" customFormat="1" ht="26.25" x14ac:dyDescent="0.4">
      <c r="A23" s="86" t="s">
        <v>1013</v>
      </c>
    </row>
    <row r="24" spans="1:1" s="87" customFormat="1" x14ac:dyDescent="0.35">
      <c r="A24" s="88"/>
    </row>
    <row r="26" spans="1:1" x14ac:dyDescent="0.35">
      <c r="A26" s="87"/>
    </row>
    <row r="27" spans="1:1" x14ac:dyDescent="0.35">
      <c r="A27" s="87"/>
    </row>
    <row r="29" spans="1:1" x14ac:dyDescent="0.35">
      <c r="A29" s="87" t="s">
        <v>1014</v>
      </c>
    </row>
    <row r="33" spans="1:1" x14ac:dyDescent="0.35">
      <c r="A33" s="87"/>
    </row>
    <row r="34" spans="1:1" x14ac:dyDescent="0.35">
      <c r="A34" s="87"/>
    </row>
  </sheetData>
  <pageMargins left="0.7" right="0.7" top="0.75" bottom="0.75" header="0.3" footer="0.3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zoomScaleNormal="100" workbookViewId="0">
      <pane xSplit="2" ySplit="2" topLeftCell="F10" activePane="bottomRight" state="frozen"/>
      <selection pane="topRight" activeCell="C1" sqref="C1"/>
      <selection pane="bottomLeft" activeCell="A3" sqref="A3"/>
      <selection pane="bottomRight" activeCell="K96" sqref="K96"/>
    </sheetView>
  </sheetViews>
  <sheetFormatPr defaultRowHeight="15" x14ac:dyDescent="0.25"/>
  <cols>
    <col min="1" max="1" width="18.42578125" bestFit="1" customWidth="1"/>
    <col min="2" max="2" width="60.5703125" customWidth="1"/>
    <col min="3" max="3" width="19" customWidth="1"/>
    <col min="4" max="4" width="17.5703125" customWidth="1"/>
    <col min="5" max="5" width="17" customWidth="1"/>
    <col min="6" max="6" width="16.28515625" customWidth="1"/>
    <col min="7" max="7" width="16.5703125" customWidth="1"/>
    <col min="9" max="9" width="15.42578125" style="73" customWidth="1"/>
    <col min="10" max="10" width="17" customWidth="1"/>
    <col min="11" max="12" width="17.42578125" customWidth="1"/>
  </cols>
  <sheetData>
    <row r="1" spans="1:12" s="3" customFormat="1" ht="15.75" thickBot="1" x14ac:dyDescent="0.3">
      <c r="A1" s="311" t="s">
        <v>1011</v>
      </c>
      <c r="B1" s="311"/>
      <c r="C1" s="26"/>
      <c r="D1" s="4"/>
      <c r="E1" s="4"/>
      <c r="F1" s="4"/>
      <c r="G1" s="4"/>
      <c r="H1" s="4"/>
      <c r="I1" s="75"/>
      <c r="J1" s="4"/>
      <c r="K1" s="4"/>
      <c r="L1" s="4"/>
    </row>
    <row r="2" spans="1:12" s="3" customFormat="1" ht="45.75" thickBot="1" x14ac:dyDescent="0.3">
      <c r="A2" s="13" t="s">
        <v>0</v>
      </c>
      <c r="B2" s="14" t="s">
        <v>1</v>
      </c>
      <c r="C2" s="27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5" t="s">
        <v>7</v>
      </c>
      <c r="I2" s="68" t="s">
        <v>999</v>
      </c>
      <c r="J2" s="17" t="s">
        <v>1000</v>
      </c>
      <c r="K2" s="39" t="s">
        <v>1001</v>
      </c>
      <c r="L2" s="17" t="s">
        <v>1002</v>
      </c>
    </row>
    <row r="3" spans="1:12" s="3" customFormat="1" x14ac:dyDescent="0.25">
      <c r="A3" s="22"/>
      <c r="B3" s="23" t="s">
        <v>503</v>
      </c>
      <c r="C3" s="235"/>
      <c r="D3" s="25"/>
      <c r="E3" s="24"/>
      <c r="F3" s="25"/>
      <c r="G3" s="287"/>
      <c r="H3" s="25"/>
      <c r="I3" s="288"/>
      <c r="J3" s="25"/>
      <c r="K3" s="24"/>
      <c r="L3" s="25"/>
    </row>
    <row r="4" spans="1:12" s="3" customFormat="1" x14ac:dyDescent="0.25">
      <c r="A4" s="18"/>
      <c r="B4" s="19"/>
      <c r="C4" s="28"/>
      <c r="D4" s="21"/>
      <c r="E4" s="20"/>
      <c r="F4" s="21"/>
      <c r="G4" s="9"/>
      <c r="H4" s="21"/>
      <c r="I4" s="69"/>
      <c r="J4" s="21"/>
      <c r="K4" s="20"/>
      <c r="L4" s="21"/>
    </row>
    <row r="5" spans="1:12" s="3" customFormat="1" x14ac:dyDescent="0.25">
      <c r="A5" s="18"/>
      <c r="B5" s="19" t="s">
        <v>9</v>
      </c>
      <c r="C5" s="28"/>
      <c r="D5" s="21"/>
      <c r="E5" s="20"/>
      <c r="F5" s="21"/>
      <c r="G5" s="9"/>
      <c r="H5" s="21"/>
      <c r="I5" s="69"/>
      <c r="J5" s="21"/>
      <c r="K5" s="20"/>
      <c r="L5" s="21"/>
    </row>
    <row r="6" spans="1:12" s="3" customFormat="1" x14ac:dyDescent="0.25">
      <c r="A6" s="18"/>
      <c r="B6" s="19"/>
      <c r="C6" s="28"/>
      <c r="D6" s="21"/>
      <c r="E6" s="20"/>
      <c r="F6" s="21"/>
      <c r="G6" s="9"/>
      <c r="H6" s="21"/>
      <c r="I6" s="69"/>
      <c r="J6" s="21"/>
      <c r="K6" s="20"/>
      <c r="L6" s="21"/>
    </row>
    <row r="7" spans="1:12" s="3" customFormat="1" x14ac:dyDescent="0.25">
      <c r="A7" s="18"/>
      <c r="B7" s="19" t="s">
        <v>10</v>
      </c>
      <c r="C7" s="28"/>
      <c r="D7" s="21"/>
      <c r="E7" s="20"/>
      <c r="F7" s="21"/>
      <c r="G7" s="9"/>
      <c r="H7" s="21"/>
      <c r="I7" s="69"/>
      <c r="J7" s="21"/>
      <c r="K7" s="20"/>
      <c r="L7" s="21"/>
    </row>
    <row r="8" spans="1:12" s="3" customFormat="1" x14ac:dyDescent="0.25">
      <c r="A8" s="18"/>
      <c r="B8" s="19"/>
      <c r="C8" s="28"/>
      <c r="D8" s="21"/>
      <c r="E8" s="20"/>
      <c r="F8" s="21"/>
      <c r="G8" s="9"/>
      <c r="H8" s="21"/>
      <c r="I8" s="69"/>
      <c r="J8" s="21"/>
      <c r="K8" s="20"/>
      <c r="L8" s="21"/>
    </row>
    <row r="9" spans="1:12" s="3" customFormat="1" x14ac:dyDescent="0.25">
      <c r="A9" s="18"/>
      <c r="B9" s="19" t="s">
        <v>11</v>
      </c>
      <c r="C9" s="28"/>
      <c r="D9" s="21"/>
      <c r="E9" s="20"/>
      <c r="F9" s="21"/>
      <c r="G9" s="9"/>
      <c r="H9" s="21"/>
      <c r="I9" s="69"/>
      <c r="J9" s="21"/>
      <c r="K9" s="20"/>
      <c r="L9" s="21"/>
    </row>
    <row r="10" spans="1:12" s="3" customFormat="1" x14ac:dyDescent="0.25">
      <c r="A10" s="18"/>
      <c r="B10" s="19"/>
      <c r="C10" s="28"/>
      <c r="D10" s="21"/>
      <c r="E10" s="20"/>
      <c r="F10" s="21"/>
      <c r="G10" s="9"/>
      <c r="H10" s="21"/>
      <c r="I10" s="69"/>
      <c r="J10" s="21"/>
      <c r="K10" s="20"/>
      <c r="L10" s="21"/>
    </row>
    <row r="11" spans="1:12" s="1" customFormat="1" ht="14.25" x14ac:dyDescent="0.2">
      <c r="A11" s="5" t="s">
        <v>504</v>
      </c>
      <c r="B11" s="7" t="s">
        <v>13</v>
      </c>
      <c r="C11" s="29">
        <v>538109</v>
      </c>
      <c r="D11" s="11">
        <v>73823.25</v>
      </c>
      <c r="E11" s="9">
        <v>0</v>
      </c>
      <c r="F11" s="11">
        <f>264080.21+E11</f>
        <v>264080.21000000002</v>
      </c>
      <c r="G11" s="9">
        <f t="shared" ref="G11:G67" si="0">C11-E11-F11</f>
        <v>274028.78999999998</v>
      </c>
      <c r="H11" s="11">
        <v>49.07</v>
      </c>
      <c r="I11" s="70">
        <v>0</v>
      </c>
      <c r="J11" s="11">
        <f>C11+I11</f>
        <v>538109</v>
      </c>
      <c r="K11" s="9">
        <f>J11*6/100+J11</f>
        <v>570395.54</v>
      </c>
      <c r="L11" s="11">
        <f>K11*6/100+K11</f>
        <v>604619.27240000002</v>
      </c>
    </row>
    <row r="12" spans="1:12" s="1" customFormat="1" ht="14.25" x14ac:dyDescent="0.2">
      <c r="A12" s="5" t="s">
        <v>505</v>
      </c>
      <c r="B12" s="7" t="s">
        <v>15</v>
      </c>
      <c r="C12" s="29">
        <v>25056</v>
      </c>
      <c r="D12" s="11">
        <v>1400</v>
      </c>
      <c r="E12" s="9">
        <v>0</v>
      </c>
      <c r="F12" s="11">
        <f>4900+E12</f>
        <v>4900</v>
      </c>
      <c r="G12" s="9">
        <f t="shared" si="0"/>
        <v>20156</v>
      </c>
      <c r="H12" s="11">
        <v>19.55</v>
      </c>
      <c r="I12" s="70">
        <v>-11000</v>
      </c>
      <c r="J12" s="11">
        <f t="shared" ref="J12:J25" si="1">C12+I12</f>
        <v>14056</v>
      </c>
      <c r="K12" s="9">
        <f t="shared" ref="K12:L25" si="2">J12*6/100+J12</f>
        <v>14899.36</v>
      </c>
      <c r="L12" s="11">
        <f t="shared" si="2"/>
        <v>15793.321600000001</v>
      </c>
    </row>
    <row r="13" spans="1:12" s="1" customFormat="1" ht="14.25" x14ac:dyDescent="0.2">
      <c r="A13" s="5" t="s">
        <v>506</v>
      </c>
      <c r="B13" s="7" t="s">
        <v>17</v>
      </c>
      <c r="C13" s="29">
        <v>62770</v>
      </c>
      <c r="D13" s="11">
        <v>5230.8</v>
      </c>
      <c r="E13" s="9">
        <v>0</v>
      </c>
      <c r="F13" s="11">
        <v>31384.799999999999</v>
      </c>
      <c r="G13" s="9">
        <f t="shared" si="0"/>
        <v>31385.200000000001</v>
      </c>
      <c r="H13" s="11">
        <v>49.99</v>
      </c>
      <c r="I13" s="70">
        <v>0</v>
      </c>
      <c r="J13" s="11">
        <f t="shared" si="1"/>
        <v>62770</v>
      </c>
      <c r="K13" s="9">
        <f t="shared" si="2"/>
        <v>66536.2</v>
      </c>
      <c r="L13" s="11">
        <f t="shared" si="2"/>
        <v>70528.372000000003</v>
      </c>
    </row>
    <row r="14" spans="1:12" s="1" customFormat="1" ht="14.25" x14ac:dyDescent="0.2">
      <c r="A14" s="5" t="s">
        <v>507</v>
      </c>
      <c r="B14" s="7" t="s">
        <v>508</v>
      </c>
      <c r="C14" s="29">
        <v>115000</v>
      </c>
      <c r="D14" s="11">
        <v>32248.63</v>
      </c>
      <c r="E14" s="9">
        <v>9771.41</v>
      </c>
      <c r="F14" s="11">
        <v>113668.51</v>
      </c>
      <c r="G14" s="9">
        <f t="shared" si="0"/>
        <v>-8439.9199999999983</v>
      </c>
      <c r="H14" s="11">
        <v>98.84</v>
      </c>
      <c r="I14" s="70">
        <v>95000</v>
      </c>
      <c r="J14" s="11">
        <f t="shared" si="1"/>
        <v>210000</v>
      </c>
      <c r="K14" s="9">
        <f t="shared" si="2"/>
        <v>222600</v>
      </c>
      <c r="L14" s="11">
        <f t="shared" si="2"/>
        <v>235956</v>
      </c>
    </row>
    <row r="15" spans="1:12" s="1" customFormat="1" ht="14.25" x14ac:dyDescent="0.2">
      <c r="A15" s="5" t="s">
        <v>509</v>
      </c>
      <c r="B15" s="7" t="s">
        <v>21</v>
      </c>
      <c r="C15" s="29">
        <v>30000</v>
      </c>
      <c r="D15" s="11">
        <v>7612.38</v>
      </c>
      <c r="E15" s="9">
        <v>0</v>
      </c>
      <c r="F15" s="11">
        <v>31421.74</v>
      </c>
      <c r="G15" s="9">
        <f t="shared" si="0"/>
        <v>-1421.7400000000016</v>
      </c>
      <c r="H15" s="11">
        <v>104.73</v>
      </c>
      <c r="I15" s="70">
        <v>35000</v>
      </c>
      <c r="J15" s="11">
        <f t="shared" si="1"/>
        <v>65000</v>
      </c>
      <c r="K15" s="9">
        <f t="shared" si="2"/>
        <v>68900</v>
      </c>
      <c r="L15" s="11">
        <f t="shared" si="2"/>
        <v>73034</v>
      </c>
    </row>
    <row r="16" spans="1:12" s="1" customFormat="1" ht="14.25" x14ac:dyDescent="0.2">
      <c r="A16" s="5" t="s">
        <v>510</v>
      </c>
      <c r="B16" s="7" t="s">
        <v>24</v>
      </c>
      <c r="C16" s="29">
        <v>150816</v>
      </c>
      <c r="D16" s="11">
        <v>9122.99</v>
      </c>
      <c r="E16" s="9">
        <v>0</v>
      </c>
      <c r="F16" s="11">
        <v>54737.94</v>
      </c>
      <c r="G16" s="9">
        <f t="shared" si="0"/>
        <v>96078.06</v>
      </c>
      <c r="H16" s="11">
        <v>36.29</v>
      </c>
      <c r="I16" s="70">
        <v>0</v>
      </c>
      <c r="J16" s="11">
        <f t="shared" si="1"/>
        <v>150816</v>
      </c>
      <c r="K16" s="9">
        <f t="shared" si="2"/>
        <v>159864.95999999999</v>
      </c>
      <c r="L16" s="11">
        <f t="shared" si="2"/>
        <v>169456.85759999999</v>
      </c>
    </row>
    <row r="17" spans="1:12" s="1" customFormat="1" ht="14.25" x14ac:dyDescent="0.2">
      <c r="A17" s="5" t="s">
        <v>511</v>
      </c>
      <c r="B17" s="7" t="s">
        <v>26</v>
      </c>
      <c r="C17" s="29">
        <v>50000</v>
      </c>
      <c r="D17" s="11">
        <v>0</v>
      </c>
      <c r="E17" s="9">
        <v>0</v>
      </c>
      <c r="F17" s="11">
        <v>0</v>
      </c>
      <c r="G17" s="9">
        <f t="shared" si="0"/>
        <v>50000</v>
      </c>
      <c r="H17" s="11">
        <v>0</v>
      </c>
      <c r="I17" s="70">
        <v>-50000</v>
      </c>
      <c r="J17" s="11">
        <f t="shared" si="1"/>
        <v>0</v>
      </c>
      <c r="K17" s="9">
        <f t="shared" si="2"/>
        <v>0</v>
      </c>
      <c r="L17" s="11">
        <f t="shared" si="2"/>
        <v>0</v>
      </c>
    </row>
    <row r="18" spans="1:12" s="1" customFormat="1" ht="14.25" x14ac:dyDescent="0.2">
      <c r="A18" s="5" t="s">
        <v>512</v>
      </c>
      <c r="B18" s="7" t="s">
        <v>28</v>
      </c>
      <c r="C18" s="29">
        <v>32729</v>
      </c>
      <c r="D18" s="11">
        <v>0</v>
      </c>
      <c r="E18" s="9">
        <v>0</v>
      </c>
      <c r="F18" s="11">
        <v>0</v>
      </c>
      <c r="G18" s="9">
        <f t="shared" si="0"/>
        <v>32729</v>
      </c>
      <c r="H18" s="11">
        <v>0</v>
      </c>
      <c r="I18" s="70">
        <v>-32729</v>
      </c>
      <c r="J18" s="11">
        <f t="shared" si="1"/>
        <v>0</v>
      </c>
      <c r="K18" s="9">
        <f t="shared" si="2"/>
        <v>0</v>
      </c>
      <c r="L18" s="11">
        <f t="shared" si="2"/>
        <v>0</v>
      </c>
    </row>
    <row r="19" spans="1:12" s="1" customFormat="1" ht="14.25" x14ac:dyDescent="0.2">
      <c r="A19" s="5" t="s">
        <v>513</v>
      </c>
      <c r="B19" s="7" t="s">
        <v>30</v>
      </c>
      <c r="C19" s="29">
        <v>100000</v>
      </c>
      <c r="D19" s="11">
        <v>0</v>
      </c>
      <c r="E19" s="9">
        <v>0</v>
      </c>
      <c r="F19" s="11">
        <v>0</v>
      </c>
      <c r="G19" s="9">
        <f t="shared" si="0"/>
        <v>100000</v>
      </c>
      <c r="H19" s="11">
        <v>0</v>
      </c>
      <c r="I19" s="70">
        <v>-50000</v>
      </c>
      <c r="J19" s="11">
        <f t="shared" si="1"/>
        <v>50000</v>
      </c>
      <c r="K19" s="9">
        <f t="shared" si="2"/>
        <v>53000</v>
      </c>
      <c r="L19" s="11">
        <f t="shared" si="2"/>
        <v>56180</v>
      </c>
    </row>
    <row r="20" spans="1:12" s="1" customFormat="1" ht="14.25" x14ac:dyDescent="0.2">
      <c r="A20" s="5" t="s">
        <v>514</v>
      </c>
      <c r="B20" s="7" t="s">
        <v>32</v>
      </c>
      <c r="C20" s="29">
        <v>6457314</v>
      </c>
      <c r="D20" s="11">
        <v>526765.06999999995</v>
      </c>
      <c r="E20" s="9">
        <v>0</v>
      </c>
      <c r="F20" s="11">
        <v>3178671.91</v>
      </c>
      <c r="G20" s="9">
        <f t="shared" si="0"/>
        <v>3278642.09</v>
      </c>
      <c r="H20" s="11">
        <v>49.22</v>
      </c>
      <c r="I20" s="70">
        <v>0</v>
      </c>
      <c r="J20" s="11">
        <f t="shared" si="1"/>
        <v>6457314</v>
      </c>
      <c r="K20" s="9">
        <f t="shared" si="2"/>
        <v>6844752.8399999999</v>
      </c>
      <c r="L20" s="11">
        <f t="shared" si="2"/>
        <v>7255438.0104</v>
      </c>
    </row>
    <row r="21" spans="1:12" s="1" customFormat="1" ht="14.25" x14ac:dyDescent="0.2">
      <c r="A21" s="5" t="s">
        <v>515</v>
      </c>
      <c r="B21" s="7" t="s">
        <v>34</v>
      </c>
      <c r="C21" s="29">
        <v>0</v>
      </c>
      <c r="D21" s="11">
        <v>0</v>
      </c>
      <c r="E21" s="9">
        <v>0</v>
      </c>
      <c r="F21" s="11">
        <v>0</v>
      </c>
      <c r="G21" s="9">
        <f t="shared" si="0"/>
        <v>0</v>
      </c>
      <c r="H21" s="11">
        <v>0</v>
      </c>
      <c r="I21" s="70">
        <v>0</v>
      </c>
      <c r="J21" s="11">
        <f t="shared" si="1"/>
        <v>0</v>
      </c>
      <c r="K21" s="9">
        <f t="shared" si="2"/>
        <v>0</v>
      </c>
      <c r="L21" s="11">
        <f t="shared" si="2"/>
        <v>0</v>
      </c>
    </row>
    <row r="22" spans="1:12" s="1" customFormat="1" ht="14.25" x14ac:dyDescent="0.2">
      <c r="A22" s="5" t="s">
        <v>516</v>
      </c>
      <c r="B22" s="7" t="s">
        <v>36</v>
      </c>
      <c r="C22" s="29">
        <v>739066</v>
      </c>
      <c r="D22" s="11">
        <v>53320.6</v>
      </c>
      <c r="E22" s="9">
        <v>0</v>
      </c>
      <c r="F22" s="11">
        <v>318516.84000000003</v>
      </c>
      <c r="G22" s="9">
        <f t="shared" si="0"/>
        <v>420549.16</v>
      </c>
      <c r="H22" s="11">
        <v>43.09</v>
      </c>
      <c r="I22" s="70">
        <v>0</v>
      </c>
      <c r="J22" s="11">
        <f t="shared" si="1"/>
        <v>739066</v>
      </c>
      <c r="K22" s="9">
        <f t="shared" si="2"/>
        <v>783409.96</v>
      </c>
      <c r="L22" s="11">
        <f t="shared" si="2"/>
        <v>830414.55759999994</v>
      </c>
    </row>
    <row r="23" spans="1:12" s="1" customFormat="1" ht="14.25" x14ac:dyDescent="0.2">
      <c r="A23" s="5" t="s">
        <v>517</v>
      </c>
      <c r="B23" s="7" t="s">
        <v>44</v>
      </c>
      <c r="C23" s="29">
        <v>219698</v>
      </c>
      <c r="D23" s="11">
        <v>0</v>
      </c>
      <c r="E23" s="9">
        <v>0</v>
      </c>
      <c r="F23" s="11">
        <v>0</v>
      </c>
      <c r="G23" s="9">
        <f t="shared" si="0"/>
        <v>219698</v>
      </c>
      <c r="H23" s="11">
        <v>0</v>
      </c>
      <c r="I23" s="70">
        <v>-150000</v>
      </c>
      <c r="J23" s="11">
        <f t="shared" si="1"/>
        <v>69698</v>
      </c>
      <c r="K23" s="9">
        <f t="shared" si="2"/>
        <v>73879.88</v>
      </c>
      <c r="L23" s="11">
        <f t="shared" si="2"/>
        <v>78312.6728</v>
      </c>
    </row>
    <row r="24" spans="1:12" s="1" customFormat="1" ht="14.25" x14ac:dyDescent="0.2">
      <c r="A24" s="5" t="s">
        <v>518</v>
      </c>
      <c r="B24" s="7" t="s">
        <v>46</v>
      </c>
      <c r="C24" s="29">
        <v>0</v>
      </c>
      <c r="D24" s="11">
        <v>0</v>
      </c>
      <c r="E24" s="9">
        <v>0</v>
      </c>
      <c r="F24" s="11">
        <v>0</v>
      </c>
      <c r="G24" s="9">
        <f t="shared" si="0"/>
        <v>0</v>
      </c>
      <c r="H24" s="11">
        <v>0</v>
      </c>
      <c r="I24" s="70">
        <v>0</v>
      </c>
      <c r="J24" s="11">
        <f t="shared" si="1"/>
        <v>0</v>
      </c>
      <c r="K24" s="9">
        <f t="shared" si="2"/>
        <v>0</v>
      </c>
      <c r="L24" s="11">
        <f t="shared" si="2"/>
        <v>0</v>
      </c>
    </row>
    <row r="25" spans="1:12" s="1" customFormat="1" ht="14.25" x14ac:dyDescent="0.2">
      <c r="A25" s="5" t="s">
        <v>519</v>
      </c>
      <c r="B25" s="7" t="s">
        <v>48</v>
      </c>
      <c r="C25" s="29">
        <v>250000</v>
      </c>
      <c r="D25" s="11">
        <v>0</v>
      </c>
      <c r="E25" s="9">
        <v>0</v>
      </c>
      <c r="F25" s="11">
        <v>0</v>
      </c>
      <c r="G25" s="9">
        <f t="shared" si="0"/>
        <v>250000</v>
      </c>
      <c r="H25" s="11">
        <v>0</v>
      </c>
      <c r="I25" s="70">
        <v>-250000</v>
      </c>
      <c r="J25" s="11">
        <f t="shared" si="1"/>
        <v>0</v>
      </c>
      <c r="K25" s="9">
        <f t="shared" si="2"/>
        <v>0</v>
      </c>
      <c r="L25" s="11">
        <f t="shared" si="2"/>
        <v>0</v>
      </c>
    </row>
    <row r="26" spans="1:12" s="1" customFormat="1" ht="14.25" x14ac:dyDescent="0.2">
      <c r="A26" s="5"/>
      <c r="B26" s="7"/>
      <c r="C26" s="29"/>
      <c r="D26" s="11"/>
      <c r="E26" s="9"/>
      <c r="F26" s="11"/>
      <c r="G26" s="9"/>
      <c r="H26" s="11"/>
      <c r="I26" s="70"/>
      <c r="J26" s="11"/>
      <c r="K26" s="9"/>
      <c r="L26" s="11"/>
    </row>
    <row r="27" spans="1:12" s="3" customFormat="1" x14ac:dyDescent="0.25">
      <c r="A27" s="18"/>
      <c r="B27" s="19" t="s">
        <v>49</v>
      </c>
      <c r="C27" s="28">
        <f>SUM(C11:C26)</f>
        <v>8770558</v>
      </c>
      <c r="D27" s="36">
        <f>SUM(D11:D26)</f>
        <v>709523.72</v>
      </c>
      <c r="E27" s="28">
        <f>SUM(E11:E26)</f>
        <v>9771.41</v>
      </c>
      <c r="F27" s="36">
        <f>SUM(F11:F26)</f>
        <v>3997381.95</v>
      </c>
      <c r="G27" s="9">
        <f t="shared" si="0"/>
        <v>4763404.6399999997</v>
      </c>
      <c r="H27" s="21">
        <v>45.57</v>
      </c>
      <c r="I27" s="71">
        <f>SUM(I11:I26)</f>
        <v>-413729</v>
      </c>
      <c r="J27" s="36">
        <f>SUM(J11:J26)</f>
        <v>8356829</v>
      </c>
      <c r="K27" s="28">
        <f>SUM(K11:K26)</f>
        <v>8858238.7400000002</v>
      </c>
      <c r="L27" s="36">
        <f>SUM(L11:L26)</f>
        <v>9389733.0644000024</v>
      </c>
    </row>
    <row r="28" spans="1:12" s="3" customFormat="1" x14ac:dyDescent="0.25">
      <c r="A28" s="18"/>
      <c r="B28" s="19"/>
      <c r="C28" s="28"/>
      <c r="D28" s="21"/>
      <c r="E28" s="20"/>
      <c r="F28" s="21"/>
      <c r="G28" s="9"/>
      <c r="H28" s="21"/>
      <c r="I28" s="69"/>
      <c r="J28" s="21"/>
      <c r="K28" s="20"/>
      <c r="L28" s="21"/>
    </row>
    <row r="29" spans="1:12" s="3" customFormat="1" x14ac:dyDescent="0.25">
      <c r="A29" s="18"/>
      <c r="B29" s="19" t="s">
        <v>50</v>
      </c>
      <c r="C29" s="28"/>
      <c r="D29" s="21"/>
      <c r="E29" s="20"/>
      <c r="F29" s="21"/>
      <c r="G29" s="9"/>
      <c r="H29" s="21"/>
      <c r="I29" s="69"/>
      <c r="J29" s="21"/>
      <c r="K29" s="20"/>
      <c r="L29" s="21"/>
    </row>
    <row r="30" spans="1:12" s="3" customFormat="1" x14ac:dyDescent="0.25">
      <c r="A30" s="18"/>
      <c r="B30" s="19"/>
      <c r="C30" s="28"/>
      <c r="D30" s="21"/>
      <c r="E30" s="20"/>
      <c r="F30" s="21"/>
      <c r="G30" s="9"/>
      <c r="H30" s="21"/>
      <c r="I30" s="69"/>
      <c r="J30" s="21"/>
      <c r="K30" s="20"/>
      <c r="L30" s="21"/>
    </row>
    <row r="31" spans="1:12" s="1" customFormat="1" ht="14.25" x14ac:dyDescent="0.2">
      <c r="A31" s="5" t="s">
        <v>520</v>
      </c>
      <c r="B31" s="7" t="s">
        <v>51</v>
      </c>
      <c r="C31" s="29">
        <v>0</v>
      </c>
      <c r="D31" s="11">
        <v>0</v>
      </c>
      <c r="E31" s="9">
        <v>0</v>
      </c>
      <c r="F31" s="11">
        <v>0</v>
      </c>
      <c r="G31" s="9"/>
      <c r="H31" s="11">
        <v>0</v>
      </c>
      <c r="I31" s="70"/>
      <c r="J31" s="11"/>
      <c r="K31" s="9"/>
      <c r="L31" s="11"/>
    </row>
    <row r="32" spans="1:12" s="1" customFormat="1" ht="14.25" x14ac:dyDescent="0.2">
      <c r="A32" s="5" t="s">
        <v>521</v>
      </c>
      <c r="B32" s="7" t="s">
        <v>53</v>
      </c>
      <c r="C32" s="29">
        <v>2743</v>
      </c>
      <c r="D32" s="11">
        <v>239.25</v>
      </c>
      <c r="E32" s="9">
        <v>0</v>
      </c>
      <c r="F32" s="11">
        <f>1457.25</f>
        <v>1457.25</v>
      </c>
      <c r="G32" s="9">
        <f t="shared" si="0"/>
        <v>1285.75</v>
      </c>
      <c r="H32" s="11">
        <f>F32/C32*100</f>
        <v>53.126139263580022</v>
      </c>
      <c r="I32" s="70">
        <v>0</v>
      </c>
      <c r="J32" s="11">
        <f t="shared" ref="J32:J37" si="3">C32+I32</f>
        <v>2743</v>
      </c>
      <c r="K32" s="9">
        <f t="shared" ref="K32:L32" si="4">J32*6/100+J32</f>
        <v>2907.58</v>
      </c>
      <c r="L32" s="11">
        <f t="shared" si="4"/>
        <v>3082.0347999999999</v>
      </c>
    </row>
    <row r="33" spans="1:12" s="1" customFormat="1" ht="14.25" x14ac:dyDescent="0.2">
      <c r="A33" s="5" t="s">
        <v>522</v>
      </c>
      <c r="B33" s="7" t="s">
        <v>55</v>
      </c>
      <c r="C33" s="29">
        <v>47893</v>
      </c>
      <c r="D33" s="11">
        <v>4293.45</v>
      </c>
      <c r="E33" s="9">
        <v>0</v>
      </c>
      <c r="F33" s="11">
        <v>26405.21</v>
      </c>
      <c r="G33" s="9">
        <f t="shared" si="0"/>
        <v>21487.79</v>
      </c>
      <c r="H33" s="11">
        <v>55.13</v>
      </c>
      <c r="I33" s="70">
        <v>0</v>
      </c>
      <c r="J33" s="11">
        <f t="shared" si="3"/>
        <v>47893</v>
      </c>
      <c r="K33" s="9">
        <f t="shared" ref="K33:L33" si="5">J33*6/100+J33</f>
        <v>50766.58</v>
      </c>
      <c r="L33" s="11">
        <f t="shared" si="5"/>
        <v>53812.574800000002</v>
      </c>
    </row>
    <row r="34" spans="1:12" s="1" customFormat="1" ht="14.25" x14ac:dyDescent="0.2">
      <c r="A34" s="5" t="s">
        <v>523</v>
      </c>
      <c r="B34" s="7" t="s">
        <v>57</v>
      </c>
      <c r="C34" s="29">
        <v>671909</v>
      </c>
      <c r="D34" s="11">
        <v>38938.199999999997</v>
      </c>
      <c r="E34" s="9">
        <v>0</v>
      </c>
      <c r="F34" s="11">
        <v>249704.68</v>
      </c>
      <c r="G34" s="9">
        <f t="shared" si="0"/>
        <v>422204.32</v>
      </c>
      <c r="H34" s="11">
        <v>37.159999999999997</v>
      </c>
      <c r="I34" s="70">
        <v>0</v>
      </c>
      <c r="J34" s="11">
        <f t="shared" si="3"/>
        <v>671909</v>
      </c>
      <c r="K34" s="9">
        <f t="shared" ref="K34:L34" si="6">J34*6/100+J34</f>
        <v>712223.54</v>
      </c>
      <c r="L34" s="11">
        <f t="shared" si="6"/>
        <v>754956.95240000007</v>
      </c>
    </row>
    <row r="35" spans="1:12" s="1" customFormat="1" ht="14.25" x14ac:dyDescent="0.2">
      <c r="A35" s="5" t="s">
        <v>524</v>
      </c>
      <c r="B35" s="7" t="s">
        <v>59</v>
      </c>
      <c r="C35" s="29">
        <v>1382769</v>
      </c>
      <c r="D35" s="11">
        <v>109804.05</v>
      </c>
      <c r="E35" s="9">
        <v>0</v>
      </c>
      <c r="F35" s="11">
        <v>662951.5</v>
      </c>
      <c r="G35" s="9">
        <f t="shared" si="0"/>
        <v>719817.5</v>
      </c>
      <c r="H35" s="11">
        <v>47.94</v>
      </c>
      <c r="I35" s="70">
        <v>0</v>
      </c>
      <c r="J35" s="11">
        <f t="shared" si="3"/>
        <v>1382769</v>
      </c>
      <c r="K35" s="9">
        <f t="shared" ref="K35:L35" si="7">J35*6/100+J35</f>
        <v>1465735.14</v>
      </c>
      <c r="L35" s="11">
        <f t="shared" si="7"/>
        <v>1553679.2483999999</v>
      </c>
    </row>
    <row r="36" spans="1:12" s="1" customFormat="1" ht="14.25" x14ac:dyDescent="0.2">
      <c r="A36" s="5" t="s">
        <v>525</v>
      </c>
      <c r="B36" s="7" t="s">
        <v>60</v>
      </c>
      <c r="C36" s="29">
        <v>0</v>
      </c>
      <c r="D36" s="11">
        <v>0</v>
      </c>
      <c r="E36" s="9">
        <v>0</v>
      </c>
      <c r="F36" s="11">
        <v>0</v>
      </c>
      <c r="G36" s="9">
        <f t="shared" si="0"/>
        <v>0</v>
      </c>
      <c r="H36" s="11">
        <v>0</v>
      </c>
      <c r="I36" s="70">
        <v>0</v>
      </c>
      <c r="J36" s="11">
        <f t="shared" si="3"/>
        <v>0</v>
      </c>
      <c r="K36" s="9">
        <f t="shared" ref="K36:L36" si="8">J36*6/100+J36</f>
        <v>0</v>
      </c>
      <c r="L36" s="11">
        <f t="shared" si="8"/>
        <v>0</v>
      </c>
    </row>
    <row r="37" spans="1:12" s="1" customFormat="1" ht="14.25" x14ac:dyDescent="0.2">
      <c r="A37" s="5" t="s">
        <v>526</v>
      </c>
      <c r="B37" s="7" t="s">
        <v>62</v>
      </c>
      <c r="C37" s="29">
        <v>129146</v>
      </c>
      <c r="D37" s="11">
        <v>6897.43</v>
      </c>
      <c r="E37" s="9">
        <v>0</v>
      </c>
      <c r="F37" s="11">
        <v>39149.120000000003</v>
      </c>
      <c r="G37" s="9">
        <f t="shared" si="0"/>
        <v>89996.88</v>
      </c>
      <c r="H37" s="11">
        <v>30.31</v>
      </c>
      <c r="I37" s="70">
        <f>-C37*18/100</f>
        <v>-23246.28</v>
      </c>
      <c r="J37" s="11">
        <f t="shared" si="3"/>
        <v>105899.72</v>
      </c>
      <c r="K37" s="9">
        <f t="shared" ref="K37:L37" si="9">J37*6/100+J37</f>
        <v>112253.7032</v>
      </c>
      <c r="L37" s="11">
        <f t="shared" si="9"/>
        <v>118988.925392</v>
      </c>
    </row>
    <row r="38" spans="1:12" s="1" customFormat="1" ht="14.25" x14ac:dyDescent="0.2">
      <c r="A38" s="5"/>
      <c r="B38" s="7"/>
      <c r="C38" s="29"/>
      <c r="D38" s="11"/>
      <c r="E38" s="9"/>
      <c r="F38" s="11"/>
      <c r="G38" s="9">
        <f t="shared" si="0"/>
        <v>0</v>
      </c>
      <c r="H38" s="11"/>
      <c r="I38" s="70"/>
      <c r="J38" s="11"/>
      <c r="K38" s="9"/>
      <c r="L38" s="11"/>
    </row>
    <row r="39" spans="1:12" s="3" customFormat="1" x14ac:dyDescent="0.25">
      <c r="A39" s="18"/>
      <c r="B39" s="19" t="s">
        <v>63</v>
      </c>
      <c r="C39" s="28">
        <f>SUM(C31:C38)</f>
        <v>2234460</v>
      </c>
      <c r="D39" s="36">
        <f t="shared" ref="D39:F39" si="10">SUM(D31:D38)</f>
        <v>160172.38</v>
      </c>
      <c r="E39" s="28">
        <f t="shared" si="10"/>
        <v>0</v>
      </c>
      <c r="F39" s="36">
        <f t="shared" si="10"/>
        <v>979667.76</v>
      </c>
      <c r="G39" s="9">
        <f t="shared" si="0"/>
        <v>1254792.24</v>
      </c>
      <c r="H39" s="21">
        <v>43.84</v>
      </c>
      <c r="I39" s="71">
        <f t="shared" ref="I39:L39" si="11">SUM(I31:I38)</f>
        <v>-23246.28</v>
      </c>
      <c r="J39" s="36">
        <f t="shared" si="11"/>
        <v>2211213.7200000002</v>
      </c>
      <c r="K39" s="28">
        <f t="shared" si="11"/>
        <v>2343886.5431999997</v>
      </c>
      <c r="L39" s="36">
        <f t="shared" si="11"/>
        <v>2484519.7357919998</v>
      </c>
    </row>
    <row r="40" spans="1:12" s="3" customFormat="1" x14ac:dyDescent="0.25">
      <c r="A40" s="18"/>
      <c r="B40" s="19"/>
      <c r="C40" s="28"/>
      <c r="D40" s="21"/>
      <c r="E40" s="20"/>
      <c r="F40" s="21"/>
      <c r="G40" s="9">
        <f t="shared" si="0"/>
        <v>0</v>
      </c>
      <c r="H40" s="21"/>
      <c r="I40" s="69"/>
      <c r="J40" s="21"/>
      <c r="K40" s="20"/>
      <c r="L40" s="21"/>
    </row>
    <row r="41" spans="1:12" s="3" customFormat="1" x14ac:dyDescent="0.25">
      <c r="A41" s="18"/>
      <c r="B41" s="19" t="s">
        <v>73</v>
      </c>
      <c r="C41" s="28">
        <f>C27+C39</f>
        <v>11005018</v>
      </c>
      <c r="D41" s="36">
        <f t="shared" ref="D41:L41" si="12">D27+D39</f>
        <v>869696.1</v>
      </c>
      <c r="E41" s="28">
        <f t="shared" si="12"/>
        <v>9771.41</v>
      </c>
      <c r="F41" s="36">
        <f t="shared" si="12"/>
        <v>4977049.71</v>
      </c>
      <c r="G41" s="9">
        <f t="shared" si="0"/>
        <v>6018196.8799999999</v>
      </c>
      <c r="H41" s="21">
        <v>45.22</v>
      </c>
      <c r="I41" s="71">
        <f t="shared" si="12"/>
        <v>-436975.28</v>
      </c>
      <c r="J41" s="36">
        <f t="shared" si="12"/>
        <v>10568042.720000001</v>
      </c>
      <c r="K41" s="28">
        <f t="shared" si="12"/>
        <v>11202125.283199999</v>
      </c>
      <c r="L41" s="36">
        <f t="shared" si="12"/>
        <v>11874252.800192002</v>
      </c>
    </row>
    <row r="42" spans="1:12" s="3" customFormat="1" x14ac:dyDescent="0.25">
      <c r="A42" s="18"/>
      <c r="B42" s="19"/>
      <c r="C42" s="28"/>
      <c r="D42" s="21"/>
      <c r="E42" s="20"/>
      <c r="F42" s="21"/>
      <c r="G42" s="9"/>
      <c r="H42" s="21"/>
      <c r="I42" s="69"/>
      <c r="J42" s="21"/>
      <c r="K42" s="20"/>
      <c r="L42" s="21"/>
    </row>
    <row r="43" spans="1:12" s="3" customFormat="1" x14ac:dyDescent="0.25">
      <c r="A43" s="18"/>
      <c r="B43" s="19" t="s">
        <v>74</v>
      </c>
      <c r="C43" s="28"/>
      <c r="D43" s="21"/>
      <c r="E43" s="20"/>
      <c r="F43" s="21"/>
      <c r="G43" s="9"/>
      <c r="H43" s="21"/>
      <c r="I43" s="69"/>
      <c r="J43" s="21"/>
      <c r="K43" s="20"/>
      <c r="L43" s="21"/>
    </row>
    <row r="44" spans="1:12" s="3" customFormat="1" x14ac:dyDescent="0.25">
      <c r="A44" s="18"/>
      <c r="B44" s="19"/>
      <c r="C44" s="28"/>
      <c r="D44" s="21"/>
      <c r="E44" s="20"/>
      <c r="F44" s="21"/>
      <c r="G44" s="9"/>
      <c r="H44" s="21"/>
      <c r="I44" s="69"/>
      <c r="J44" s="21"/>
      <c r="K44" s="20"/>
      <c r="L44" s="21"/>
    </row>
    <row r="45" spans="1:12" s="3" customFormat="1" x14ac:dyDescent="0.25">
      <c r="A45" s="18"/>
      <c r="B45" s="19" t="s">
        <v>75</v>
      </c>
      <c r="C45" s="28"/>
      <c r="D45" s="21"/>
      <c r="E45" s="20"/>
      <c r="F45" s="21"/>
      <c r="G45" s="9"/>
      <c r="H45" s="21"/>
      <c r="I45" s="69"/>
      <c r="J45" s="21"/>
      <c r="K45" s="20"/>
      <c r="L45" s="21"/>
    </row>
    <row r="46" spans="1:12" s="3" customFormat="1" x14ac:dyDescent="0.25">
      <c r="A46" s="18"/>
      <c r="B46" s="19"/>
      <c r="C46" s="28"/>
      <c r="D46" s="21"/>
      <c r="E46" s="20"/>
      <c r="F46" s="21"/>
      <c r="G46" s="9"/>
      <c r="H46" s="21"/>
      <c r="I46" s="69"/>
      <c r="J46" s="21"/>
      <c r="K46" s="20"/>
      <c r="L46" s="21"/>
    </row>
    <row r="47" spans="1:12" s="1" customFormat="1" ht="14.25" x14ac:dyDescent="0.2">
      <c r="A47" s="5" t="s">
        <v>527</v>
      </c>
      <c r="B47" s="7" t="s">
        <v>77</v>
      </c>
      <c r="C47" s="29">
        <v>83840</v>
      </c>
      <c r="D47" s="11">
        <v>0</v>
      </c>
      <c r="E47" s="9">
        <v>4029.74</v>
      </c>
      <c r="F47" s="11">
        <f>33953.65</f>
        <v>33953.65</v>
      </c>
      <c r="G47" s="9">
        <f t="shared" si="0"/>
        <v>45856.609999999993</v>
      </c>
      <c r="H47" s="11">
        <f>F47/C47*100</f>
        <v>40.498151240458022</v>
      </c>
      <c r="I47" s="70">
        <v>65000</v>
      </c>
      <c r="J47" s="11">
        <f t="shared" ref="J47:J79" si="13">C47+I47</f>
        <v>148840</v>
      </c>
      <c r="K47" s="9">
        <f>J47*6/100+J47</f>
        <v>157770.4</v>
      </c>
      <c r="L47" s="11">
        <f>K47*6/100+K47</f>
        <v>167236.62399999998</v>
      </c>
    </row>
    <row r="48" spans="1:12" s="1" customFormat="1" ht="14.25" x14ac:dyDescent="0.2">
      <c r="A48" s="5" t="s">
        <v>528</v>
      </c>
      <c r="B48" s="7" t="s">
        <v>529</v>
      </c>
      <c r="C48" s="29">
        <v>764000</v>
      </c>
      <c r="D48" s="11">
        <v>0</v>
      </c>
      <c r="E48" s="9">
        <v>0</v>
      </c>
      <c r="F48" s="11">
        <v>754844.73</v>
      </c>
      <c r="G48" s="9">
        <f t="shared" si="0"/>
        <v>9155.2700000000186</v>
      </c>
      <c r="H48" s="11">
        <f t="shared" ref="H48:H79" si="14">F48/C48*100</f>
        <v>98.801666230366493</v>
      </c>
      <c r="I48" s="70">
        <v>-9155.27</v>
      </c>
      <c r="J48" s="11">
        <f t="shared" si="13"/>
        <v>754844.73</v>
      </c>
      <c r="K48" s="9">
        <f t="shared" ref="K48:L79" si="15">J48*6/100+J48</f>
        <v>800135.41379999998</v>
      </c>
      <c r="L48" s="11">
        <f t="shared" si="15"/>
        <v>848143.53862799995</v>
      </c>
    </row>
    <row r="49" spans="1:12" s="1" customFormat="1" ht="14.25" x14ac:dyDescent="0.2">
      <c r="A49" s="5" t="s">
        <v>531</v>
      </c>
      <c r="B49" s="7" t="s">
        <v>498</v>
      </c>
      <c r="C49" s="29">
        <v>100000</v>
      </c>
      <c r="D49" s="11">
        <v>0</v>
      </c>
      <c r="E49" s="9">
        <v>0</v>
      </c>
      <c r="F49" s="11">
        <v>25128</v>
      </c>
      <c r="G49" s="9">
        <f t="shared" si="0"/>
        <v>74872</v>
      </c>
      <c r="H49" s="11">
        <f t="shared" si="14"/>
        <v>25.128</v>
      </c>
      <c r="I49" s="70">
        <v>-40000</v>
      </c>
      <c r="J49" s="11">
        <f t="shared" si="13"/>
        <v>60000</v>
      </c>
      <c r="K49" s="9">
        <f t="shared" si="15"/>
        <v>63600</v>
      </c>
      <c r="L49" s="11">
        <f t="shared" si="15"/>
        <v>67416</v>
      </c>
    </row>
    <row r="50" spans="1:12" s="1" customFormat="1" ht="14.25" x14ac:dyDescent="0.2">
      <c r="A50" s="5" t="s">
        <v>532</v>
      </c>
      <c r="B50" s="7" t="s">
        <v>99</v>
      </c>
      <c r="C50" s="29">
        <v>20000</v>
      </c>
      <c r="D50" s="11">
        <v>0</v>
      </c>
      <c r="E50" s="9">
        <v>0</v>
      </c>
      <c r="F50" s="11">
        <v>0</v>
      </c>
      <c r="G50" s="9">
        <f t="shared" si="0"/>
        <v>20000</v>
      </c>
      <c r="H50" s="11">
        <f t="shared" si="14"/>
        <v>0</v>
      </c>
      <c r="I50" s="70">
        <v>-10000</v>
      </c>
      <c r="J50" s="11">
        <f t="shared" si="13"/>
        <v>10000</v>
      </c>
      <c r="K50" s="9">
        <f t="shared" si="15"/>
        <v>10600</v>
      </c>
      <c r="L50" s="11">
        <f t="shared" si="15"/>
        <v>11236</v>
      </c>
    </row>
    <row r="51" spans="1:12" s="1" customFormat="1" ht="14.25" x14ac:dyDescent="0.2">
      <c r="A51" s="5" t="s">
        <v>533</v>
      </c>
      <c r="B51" s="7" t="s">
        <v>60</v>
      </c>
      <c r="C51" s="29">
        <v>268320</v>
      </c>
      <c r="D51" s="11">
        <v>0</v>
      </c>
      <c r="E51" s="9">
        <v>0</v>
      </c>
      <c r="F51" s="11">
        <v>268320</v>
      </c>
      <c r="G51" s="9">
        <f t="shared" si="0"/>
        <v>0</v>
      </c>
      <c r="H51" s="11">
        <f t="shared" si="14"/>
        <v>100</v>
      </c>
      <c r="I51" s="70">
        <v>250000</v>
      </c>
      <c r="J51" s="11">
        <f t="shared" si="13"/>
        <v>518320</v>
      </c>
      <c r="K51" s="9">
        <f t="shared" si="15"/>
        <v>549419.19999999995</v>
      </c>
      <c r="L51" s="11">
        <f t="shared" si="15"/>
        <v>582384.35199999996</v>
      </c>
    </row>
    <row r="52" spans="1:12" s="1" customFormat="1" ht="14.25" x14ac:dyDescent="0.2">
      <c r="A52" s="5" t="s">
        <v>534</v>
      </c>
      <c r="B52" s="7" t="s">
        <v>115</v>
      </c>
      <c r="C52" s="29">
        <v>272594</v>
      </c>
      <c r="D52" s="11">
        <v>43.45</v>
      </c>
      <c r="E52" s="9">
        <v>0</v>
      </c>
      <c r="F52" s="11">
        <v>144389.45000000001</v>
      </c>
      <c r="G52" s="9">
        <f t="shared" si="0"/>
        <v>128204.54999999999</v>
      </c>
      <c r="H52" s="11">
        <f t="shared" si="14"/>
        <v>52.96868236278128</v>
      </c>
      <c r="I52" s="70">
        <v>30795</v>
      </c>
      <c r="J52" s="11">
        <f t="shared" si="13"/>
        <v>303389</v>
      </c>
      <c r="K52" s="9">
        <f t="shared" si="15"/>
        <v>321592.34000000003</v>
      </c>
      <c r="L52" s="11">
        <f t="shared" si="15"/>
        <v>340887.88040000002</v>
      </c>
    </row>
    <row r="53" spans="1:12" s="1" customFormat="1" ht="14.25" x14ac:dyDescent="0.2">
      <c r="A53" s="5" t="s">
        <v>535</v>
      </c>
      <c r="B53" s="7" t="s">
        <v>124</v>
      </c>
      <c r="C53" s="29">
        <v>80000</v>
      </c>
      <c r="D53" s="11">
        <v>1540.17</v>
      </c>
      <c r="E53" s="9">
        <v>0</v>
      </c>
      <c r="F53" s="11">
        <v>12900.52</v>
      </c>
      <c r="G53" s="9">
        <f t="shared" si="0"/>
        <v>67099.48</v>
      </c>
      <c r="H53" s="11">
        <f t="shared" si="14"/>
        <v>16.12565</v>
      </c>
      <c r="I53" s="70">
        <v>0</v>
      </c>
      <c r="J53" s="11">
        <f t="shared" si="13"/>
        <v>80000</v>
      </c>
      <c r="K53" s="9">
        <f t="shared" si="15"/>
        <v>84800</v>
      </c>
      <c r="L53" s="11">
        <f t="shared" si="15"/>
        <v>89888</v>
      </c>
    </row>
    <row r="54" spans="1:12" s="1" customFormat="1" ht="14.25" x14ac:dyDescent="0.2">
      <c r="A54" s="5" t="s">
        <v>536</v>
      </c>
      <c r="B54" s="7" t="s">
        <v>137</v>
      </c>
      <c r="C54" s="29">
        <v>260000</v>
      </c>
      <c r="D54" s="11">
        <v>12364.41</v>
      </c>
      <c r="E54" s="9">
        <v>0</v>
      </c>
      <c r="F54" s="11">
        <v>135757.74</v>
      </c>
      <c r="G54" s="9">
        <f t="shared" si="0"/>
        <v>124242.26000000001</v>
      </c>
      <c r="H54" s="11">
        <f t="shared" si="14"/>
        <v>52.214515384615382</v>
      </c>
      <c r="I54" s="70">
        <v>14000</v>
      </c>
      <c r="J54" s="11">
        <f t="shared" si="13"/>
        <v>274000</v>
      </c>
      <c r="K54" s="9">
        <f t="shared" si="15"/>
        <v>290440</v>
      </c>
      <c r="L54" s="11">
        <f t="shared" si="15"/>
        <v>307866.40000000002</v>
      </c>
    </row>
    <row r="55" spans="1:12" s="1" customFormat="1" ht="14.25" x14ac:dyDescent="0.2">
      <c r="A55" s="5" t="s">
        <v>537</v>
      </c>
      <c r="B55" s="7" t="s">
        <v>144</v>
      </c>
      <c r="C55" s="29">
        <v>60000</v>
      </c>
      <c r="D55" s="11">
        <v>0</v>
      </c>
      <c r="E55" s="9">
        <v>0</v>
      </c>
      <c r="F55" s="11">
        <v>46179.9</v>
      </c>
      <c r="G55" s="9">
        <f t="shared" si="0"/>
        <v>13820.099999999999</v>
      </c>
      <c r="H55" s="11">
        <f t="shared" si="14"/>
        <v>76.966500000000011</v>
      </c>
      <c r="I55" s="70">
        <v>52045.27</v>
      </c>
      <c r="J55" s="11">
        <f t="shared" si="13"/>
        <v>112045.26999999999</v>
      </c>
      <c r="K55" s="9">
        <f t="shared" si="15"/>
        <v>118767.98619999998</v>
      </c>
      <c r="L55" s="11">
        <f t="shared" si="15"/>
        <v>125894.06537199998</v>
      </c>
    </row>
    <row r="56" spans="1:12" s="1" customFormat="1" ht="14.25" x14ac:dyDescent="0.2">
      <c r="A56" s="5" t="s">
        <v>538</v>
      </c>
      <c r="B56" s="7" t="s">
        <v>159</v>
      </c>
      <c r="C56" s="29">
        <v>80000</v>
      </c>
      <c r="D56" s="11">
        <v>0</v>
      </c>
      <c r="E56" s="9">
        <v>0</v>
      </c>
      <c r="F56" s="11">
        <v>19120</v>
      </c>
      <c r="G56" s="9">
        <f t="shared" si="0"/>
        <v>60880</v>
      </c>
      <c r="H56" s="11">
        <f t="shared" si="14"/>
        <v>23.9</v>
      </c>
      <c r="I56" s="70">
        <v>0</v>
      </c>
      <c r="J56" s="11">
        <f t="shared" si="13"/>
        <v>80000</v>
      </c>
      <c r="K56" s="9">
        <f t="shared" si="15"/>
        <v>84800</v>
      </c>
      <c r="L56" s="11">
        <f t="shared" si="15"/>
        <v>89888</v>
      </c>
    </row>
    <row r="57" spans="1:12" s="1" customFormat="1" ht="14.25" x14ac:dyDescent="0.2">
      <c r="A57" s="5" t="s">
        <v>539</v>
      </c>
      <c r="B57" s="7" t="s">
        <v>168</v>
      </c>
      <c r="C57" s="29">
        <v>103081</v>
      </c>
      <c r="D57" s="11">
        <v>0</v>
      </c>
      <c r="E57" s="9">
        <v>0</v>
      </c>
      <c r="F57" s="11">
        <v>18348.5</v>
      </c>
      <c r="G57" s="9">
        <f t="shared" si="0"/>
        <v>84732.5</v>
      </c>
      <c r="H57" s="11">
        <f t="shared" si="14"/>
        <v>17.800079549092462</v>
      </c>
      <c r="I57" s="70">
        <v>0</v>
      </c>
      <c r="J57" s="11">
        <f t="shared" si="13"/>
        <v>103081</v>
      </c>
      <c r="K57" s="9">
        <f t="shared" si="15"/>
        <v>109265.86</v>
      </c>
      <c r="L57" s="11">
        <f t="shared" si="15"/>
        <v>115821.8116</v>
      </c>
    </row>
    <row r="58" spans="1:12" s="1" customFormat="1" ht="14.25" x14ac:dyDescent="0.2">
      <c r="A58" s="5" t="s">
        <v>540</v>
      </c>
      <c r="B58" s="7" t="s">
        <v>173</v>
      </c>
      <c r="C58" s="29">
        <v>57500</v>
      </c>
      <c r="D58" s="11">
        <v>12877.57</v>
      </c>
      <c r="E58" s="9">
        <v>9689</v>
      </c>
      <c r="F58" s="11">
        <v>43426.98</v>
      </c>
      <c r="G58" s="9">
        <f t="shared" si="0"/>
        <v>4384.0199999999968</v>
      </c>
      <c r="H58" s="11">
        <f t="shared" si="14"/>
        <v>75.525182608695658</v>
      </c>
      <c r="I58" s="70">
        <v>30000</v>
      </c>
      <c r="J58" s="11">
        <f t="shared" si="13"/>
        <v>87500</v>
      </c>
      <c r="K58" s="9">
        <f t="shared" si="15"/>
        <v>92750</v>
      </c>
      <c r="L58" s="11">
        <f t="shared" si="15"/>
        <v>98315</v>
      </c>
    </row>
    <row r="59" spans="1:12" s="1" customFormat="1" ht="14.25" x14ac:dyDescent="0.2">
      <c r="A59" s="5" t="s">
        <v>541</v>
      </c>
      <c r="B59" s="7" t="s">
        <v>177</v>
      </c>
      <c r="C59" s="29">
        <v>500000</v>
      </c>
      <c r="D59" s="11">
        <v>0</v>
      </c>
      <c r="E59" s="9">
        <v>0</v>
      </c>
      <c r="F59" s="11">
        <v>188221.99</v>
      </c>
      <c r="G59" s="9">
        <f t="shared" si="0"/>
        <v>311778.01</v>
      </c>
      <c r="H59" s="11">
        <f t="shared" si="14"/>
        <v>37.644397999999995</v>
      </c>
      <c r="I59" s="70">
        <v>100000</v>
      </c>
      <c r="J59" s="11">
        <f t="shared" si="13"/>
        <v>600000</v>
      </c>
      <c r="K59" s="9">
        <f t="shared" si="15"/>
        <v>636000</v>
      </c>
      <c r="L59" s="11">
        <f t="shared" si="15"/>
        <v>674160</v>
      </c>
    </row>
    <row r="60" spans="1:12" s="1" customFormat="1" ht="14.25" x14ac:dyDescent="0.2">
      <c r="A60" s="5" t="s">
        <v>542</v>
      </c>
      <c r="B60" s="7" t="s">
        <v>187</v>
      </c>
      <c r="C60" s="29">
        <v>779</v>
      </c>
      <c r="D60" s="11">
        <v>0</v>
      </c>
      <c r="E60" s="9">
        <v>0</v>
      </c>
      <c r="F60" s="11">
        <v>0</v>
      </c>
      <c r="G60" s="9">
        <f t="shared" si="0"/>
        <v>779</v>
      </c>
      <c r="H60" s="11">
        <f t="shared" si="14"/>
        <v>0</v>
      </c>
      <c r="I60" s="70">
        <v>5221</v>
      </c>
      <c r="J60" s="11">
        <f t="shared" si="13"/>
        <v>6000</v>
      </c>
      <c r="K60" s="9">
        <f t="shared" si="15"/>
        <v>6360</v>
      </c>
      <c r="L60" s="11">
        <f t="shared" si="15"/>
        <v>6741.6</v>
      </c>
    </row>
    <row r="61" spans="1:12" s="1" customFormat="1" ht="14.25" x14ac:dyDescent="0.2">
      <c r="A61" s="5" t="s">
        <v>543</v>
      </c>
      <c r="B61" s="7" t="s">
        <v>199</v>
      </c>
      <c r="C61" s="29">
        <v>277990</v>
      </c>
      <c r="D61" s="11">
        <v>0</v>
      </c>
      <c r="E61" s="9">
        <v>0</v>
      </c>
      <c r="F61" s="11">
        <v>164341.4</v>
      </c>
      <c r="G61" s="9">
        <f t="shared" si="0"/>
        <v>113648.6</v>
      </c>
      <c r="H61" s="11">
        <f t="shared" si="14"/>
        <v>59.11773804813123</v>
      </c>
      <c r="I61" s="70">
        <v>50000</v>
      </c>
      <c r="J61" s="11">
        <f t="shared" si="13"/>
        <v>327990</v>
      </c>
      <c r="K61" s="9">
        <f t="shared" si="15"/>
        <v>347669.4</v>
      </c>
      <c r="L61" s="11">
        <f t="shared" si="15"/>
        <v>368529.56400000001</v>
      </c>
    </row>
    <row r="62" spans="1:12" s="1" customFormat="1" ht="14.25" x14ac:dyDescent="0.2">
      <c r="A62" s="5" t="s">
        <v>544</v>
      </c>
      <c r="B62" s="7" t="s">
        <v>205</v>
      </c>
      <c r="C62" s="29">
        <v>63480</v>
      </c>
      <c r="D62" s="11">
        <v>0</v>
      </c>
      <c r="E62" s="9">
        <v>0</v>
      </c>
      <c r="F62" s="11">
        <v>0</v>
      </c>
      <c r="G62" s="9">
        <f t="shared" si="0"/>
        <v>63480</v>
      </c>
      <c r="H62" s="11">
        <f t="shared" si="14"/>
        <v>0</v>
      </c>
      <c r="I62" s="70">
        <v>-10000</v>
      </c>
      <c r="J62" s="11">
        <f t="shared" si="13"/>
        <v>53480</v>
      </c>
      <c r="K62" s="9">
        <f t="shared" si="15"/>
        <v>56688.800000000003</v>
      </c>
      <c r="L62" s="11">
        <f t="shared" si="15"/>
        <v>60090.128000000004</v>
      </c>
    </row>
    <row r="63" spans="1:12" s="1" customFormat="1" ht="14.25" x14ac:dyDescent="0.2">
      <c r="A63" s="5" t="s">
        <v>545</v>
      </c>
      <c r="B63" s="7" t="s">
        <v>217</v>
      </c>
      <c r="C63" s="29">
        <v>2000</v>
      </c>
      <c r="D63" s="11">
        <v>0</v>
      </c>
      <c r="E63" s="9">
        <v>0</v>
      </c>
      <c r="F63" s="11">
        <v>0</v>
      </c>
      <c r="G63" s="9">
        <f t="shared" si="0"/>
        <v>2000</v>
      </c>
      <c r="H63" s="11">
        <f t="shared" si="14"/>
        <v>0</v>
      </c>
      <c r="I63" s="70">
        <v>-1000</v>
      </c>
      <c r="J63" s="11">
        <f t="shared" si="13"/>
        <v>1000</v>
      </c>
      <c r="K63" s="9">
        <f t="shared" si="15"/>
        <v>1060</v>
      </c>
      <c r="L63" s="11">
        <f t="shared" si="15"/>
        <v>1123.5999999999999</v>
      </c>
    </row>
    <row r="64" spans="1:12" s="258" customFormat="1" ht="14.25" x14ac:dyDescent="0.2">
      <c r="A64" s="253" t="s">
        <v>1041</v>
      </c>
      <c r="B64" s="254" t="s">
        <v>220</v>
      </c>
      <c r="C64" s="255">
        <v>0</v>
      </c>
      <c r="D64" s="256">
        <v>0</v>
      </c>
      <c r="E64" s="257">
        <v>0</v>
      </c>
      <c r="F64" s="256">
        <v>0</v>
      </c>
      <c r="G64" s="257">
        <f t="shared" si="0"/>
        <v>0</v>
      </c>
      <c r="H64" s="256">
        <v>0</v>
      </c>
      <c r="I64" s="32">
        <v>5600</v>
      </c>
      <c r="J64" s="256">
        <f t="shared" si="13"/>
        <v>5600</v>
      </c>
      <c r="K64" s="257">
        <v>0</v>
      </c>
      <c r="L64" s="256">
        <f t="shared" si="15"/>
        <v>0</v>
      </c>
    </row>
    <row r="65" spans="1:12" s="1" customFormat="1" ht="14.25" x14ac:dyDescent="0.2">
      <c r="A65" s="5" t="s">
        <v>546</v>
      </c>
      <c r="B65" s="7" t="s">
        <v>547</v>
      </c>
      <c r="C65" s="29">
        <v>182505</v>
      </c>
      <c r="D65" s="11">
        <v>4364.25</v>
      </c>
      <c r="E65" s="9">
        <v>0</v>
      </c>
      <c r="F65" s="11">
        <v>36681.800000000003</v>
      </c>
      <c r="G65" s="9">
        <f t="shared" si="0"/>
        <v>145823.20000000001</v>
      </c>
      <c r="H65" s="11">
        <f t="shared" si="14"/>
        <v>20.099065779019753</v>
      </c>
      <c r="I65" s="70">
        <v>-40000</v>
      </c>
      <c r="J65" s="11">
        <f t="shared" si="13"/>
        <v>142505</v>
      </c>
      <c r="K65" s="9">
        <f t="shared" si="15"/>
        <v>151055.29999999999</v>
      </c>
      <c r="L65" s="11">
        <f t="shared" si="15"/>
        <v>160118.61799999999</v>
      </c>
    </row>
    <row r="66" spans="1:12" s="1" customFormat="1" ht="14.25" x14ac:dyDescent="0.2">
      <c r="A66" s="5" t="s">
        <v>548</v>
      </c>
      <c r="B66" s="7" t="s">
        <v>549</v>
      </c>
      <c r="C66" s="29">
        <v>588226</v>
      </c>
      <c r="D66" s="11">
        <v>45606.37</v>
      </c>
      <c r="E66" s="9">
        <v>0</v>
      </c>
      <c r="F66" s="11">
        <v>227369.74</v>
      </c>
      <c r="G66" s="9">
        <f t="shared" si="0"/>
        <v>360856.26</v>
      </c>
      <c r="H66" s="11">
        <f t="shared" si="14"/>
        <v>38.65346652477109</v>
      </c>
      <c r="I66" s="70">
        <v>-40000</v>
      </c>
      <c r="J66" s="11">
        <f t="shared" si="13"/>
        <v>548226</v>
      </c>
      <c r="K66" s="9">
        <f t="shared" si="15"/>
        <v>581119.56000000006</v>
      </c>
      <c r="L66" s="11">
        <f t="shared" si="15"/>
        <v>615986.73360000004</v>
      </c>
    </row>
    <row r="67" spans="1:12" s="1" customFormat="1" ht="14.25" x14ac:dyDescent="0.2">
      <c r="A67" s="5" t="s">
        <v>550</v>
      </c>
      <c r="B67" s="7" t="s">
        <v>245</v>
      </c>
      <c r="C67" s="29">
        <v>106858</v>
      </c>
      <c r="D67" s="11">
        <v>3419.14</v>
      </c>
      <c r="E67" s="9">
        <v>0</v>
      </c>
      <c r="F67" s="11">
        <v>14359.16</v>
      </c>
      <c r="G67" s="9">
        <f t="shared" si="0"/>
        <v>92498.84</v>
      </c>
      <c r="H67" s="11">
        <f t="shared" si="14"/>
        <v>13.437608789234313</v>
      </c>
      <c r="I67" s="70">
        <v>-50000</v>
      </c>
      <c r="J67" s="11">
        <f t="shared" si="13"/>
        <v>56858</v>
      </c>
      <c r="K67" s="9">
        <f t="shared" si="15"/>
        <v>60269.48</v>
      </c>
      <c r="L67" s="11">
        <f t="shared" si="15"/>
        <v>63885.648800000003</v>
      </c>
    </row>
    <row r="68" spans="1:12" s="1" customFormat="1" ht="14.25" x14ac:dyDescent="0.2">
      <c r="A68" s="5" t="s">
        <v>551</v>
      </c>
      <c r="B68" s="7" t="s">
        <v>247</v>
      </c>
      <c r="C68" s="29">
        <v>585000</v>
      </c>
      <c r="D68" s="11">
        <v>0</v>
      </c>
      <c r="E68" s="9">
        <v>0</v>
      </c>
      <c r="F68" s="11">
        <v>112027.64</v>
      </c>
      <c r="G68" s="9">
        <f t="shared" ref="G68:G84" si="16">C68-E68-F68</f>
        <v>472972.36</v>
      </c>
      <c r="H68" s="11">
        <f t="shared" si="14"/>
        <v>19.150023931623934</v>
      </c>
      <c r="I68" s="70">
        <v>-50000</v>
      </c>
      <c r="J68" s="11">
        <f t="shared" si="13"/>
        <v>535000</v>
      </c>
      <c r="K68" s="9">
        <f t="shared" si="15"/>
        <v>567100</v>
      </c>
      <c r="L68" s="11">
        <f t="shared" si="15"/>
        <v>601126</v>
      </c>
    </row>
    <row r="69" spans="1:12" s="1" customFormat="1" ht="14.25" x14ac:dyDescent="0.2">
      <c r="A69" s="5" t="s">
        <v>552</v>
      </c>
      <c r="B69" s="7" t="s">
        <v>250</v>
      </c>
      <c r="C69" s="29">
        <v>360000</v>
      </c>
      <c r="D69" s="11">
        <v>40910.480000000003</v>
      </c>
      <c r="E69" s="9">
        <v>0</v>
      </c>
      <c r="F69" s="11">
        <v>54712.73</v>
      </c>
      <c r="G69" s="9">
        <f t="shared" si="16"/>
        <v>305287.27</v>
      </c>
      <c r="H69" s="11">
        <f t="shared" si="14"/>
        <v>15.197980555555556</v>
      </c>
      <c r="I69" s="70">
        <v>-45000</v>
      </c>
      <c r="J69" s="11">
        <f t="shared" si="13"/>
        <v>315000</v>
      </c>
      <c r="K69" s="9">
        <f t="shared" si="15"/>
        <v>333900</v>
      </c>
      <c r="L69" s="11">
        <f t="shared" si="15"/>
        <v>353934</v>
      </c>
    </row>
    <row r="70" spans="1:12" s="1" customFormat="1" ht="14.25" x14ac:dyDescent="0.2">
      <c r="A70" s="5" t="s">
        <v>553</v>
      </c>
      <c r="B70" s="7" t="s">
        <v>500</v>
      </c>
      <c r="C70" s="29">
        <v>112500</v>
      </c>
      <c r="D70" s="11">
        <v>6973.42</v>
      </c>
      <c r="E70" s="9">
        <v>0</v>
      </c>
      <c r="F70" s="11">
        <v>35195.1</v>
      </c>
      <c r="G70" s="9">
        <f t="shared" si="16"/>
        <v>77304.899999999994</v>
      </c>
      <c r="H70" s="11">
        <f t="shared" si="14"/>
        <v>31.284533333333332</v>
      </c>
      <c r="I70" s="70">
        <v>-10000</v>
      </c>
      <c r="J70" s="11">
        <f t="shared" si="13"/>
        <v>102500</v>
      </c>
      <c r="K70" s="9">
        <f t="shared" si="15"/>
        <v>108650</v>
      </c>
      <c r="L70" s="11">
        <f t="shared" si="15"/>
        <v>115169</v>
      </c>
    </row>
    <row r="71" spans="1:12" s="1" customFormat="1" ht="14.25" x14ac:dyDescent="0.2">
      <c r="A71" s="5" t="s">
        <v>554</v>
      </c>
      <c r="B71" s="7" t="s">
        <v>254</v>
      </c>
      <c r="C71" s="29">
        <v>500000</v>
      </c>
      <c r="D71" s="11">
        <v>9800</v>
      </c>
      <c r="E71" s="9">
        <v>59209.58</v>
      </c>
      <c r="F71" s="11">
        <v>74393.740000000005</v>
      </c>
      <c r="G71" s="9">
        <f t="shared" si="16"/>
        <v>366396.68</v>
      </c>
      <c r="H71" s="11">
        <f t="shared" si="14"/>
        <v>14.878748</v>
      </c>
      <c r="I71" s="70">
        <v>0</v>
      </c>
      <c r="J71" s="11">
        <f t="shared" si="13"/>
        <v>500000</v>
      </c>
      <c r="K71" s="9">
        <f t="shared" si="15"/>
        <v>530000</v>
      </c>
      <c r="L71" s="11">
        <f t="shared" si="15"/>
        <v>561800</v>
      </c>
    </row>
    <row r="72" spans="1:12" s="1" customFormat="1" ht="14.25" x14ac:dyDescent="0.2">
      <c r="A72" s="5" t="s">
        <v>555</v>
      </c>
      <c r="B72" s="7" t="s">
        <v>262</v>
      </c>
      <c r="C72" s="29">
        <v>15000</v>
      </c>
      <c r="D72" s="11">
        <v>0</v>
      </c>
      <c r="E72" s="9">
        <v>0</v>
      </c>
      <c r="F72" s="11">
        <v>14660</v>
      </c>
      <c r="G72" s="9">
        <f t="shared" si="16"/>
        <v>340</v>
      </c>
      <c r="H72" s="11">
        <f t="shared" si="14"/>
        <v>97.733333333333334</v>
      </c>
      <c r="I72" s="70">
        <v>20000</v>
      </c>
      <c r="J72" s="11">
        <f t="shared" si="13"/>
        <v>35000</v>
      </c>
      <c r="K72" s="9">
        <f t="shared" si="15"/>
        <v>37100</v>
      </c>
      <c r="L72" s="11">
        <f t="shared" si="15"/>
        <v>39326</v>
      </c>
    </row>
    <row r="73" spans="1:12" s="1" customFormat="1" ht="14.25" x14ac:dyDescent="0.2">
      <c r="A73" s="5" t="s">
        <v>556</v>
      </c>
      <c r="B73" s="7" t="s">
        <v>268</v>
      </c>
      <c r="C73" s="29">
        <v>1280000</v>
      </c>
      <c r="D73" s="11">
        <v>136000</v>
      </c>
      <c r="E73" s="9">
        <v>0</v>
      </c>
      <c r="F73" s="11">
        <v>271000</v>
      </c>
      <c r="G73" s="9">
        <f t="shared" si="16"/>
        <v>1009000</v>
      </c>
      <c r="H73" s="11">
        <f t="shared" si="14"/>
        <v>21.171875</v>
      </c>
      <c r="I73" s="70">
        <v>400000</v>
      </c>
      <c r="J73" s="11">
        <f t="shared" si="13"/>
        <v>1680000</v>
      </c>
      <c r="K73" s="9">
        <v>1680000</v>
      </c>
      <c r="L73" s="11">
        <v>1680000</v>
      </c>
    </row>
    <row r="74" spans="1:12" s="1" customFormat="1" ht="14.25" x14ac:dyDescent="0.2">
      <c r="A74" s="5" t="s">
        <v>557</v>
      </c>
      <c r="B74" s="7" t="s">
        <v>501</v>
      </c>
      <c r="C74" s="29">
        <v>400000</v>
      </c>
      <c r="D74" s="11">
        <v>0</v>
      </c>
      <c r="E74" s="9">
        <v>0</v>
      </c>
      <c r="F74" s="11">
        <v>544000</v>
      </c>
      <c r="G74" s="9">
        <f t="shared" si="16"/>
        <v>-144000</v>
      </c>
      <c r="H74" s="11">
        <f t="shared" si="14"/>
        <v>136</v>
      </c>
      <c r="I74" s="70">
        <v>-400000</v>
      </c>
      <c r="J74" s="11">
        <f t="shared" si="13"/>
        <v>0</v>
      </c>
      <c r="K74" s="9">
        <f t="shared" si="15"/>
        <v>0</v>
      </c>
      <c r="L74" s="11">
        <f t="shared" si="15"/>
        <v>0</v>
      </c>
    </row>
    <row r="75" spans="1:12" s="115" customFormat="1" ht="14.25" x14ac:dyDescent="0.2">
      <c r="A75" s="110" t="s">
        <v>558</v>
      </c>
      <c r="B75" s="111" t="s">
        <v>1098</v>
      </c>
      <c r="C75" s="226">
        <v>900000</v>
      </c>
      <c r="D75" s="227">
        <v>275685.2</v>
      </c>
      <c r="E75" s="225">
        <v>0</v>
      </c>
      <c r="F75" s="227">
        <v>785969.09</v>
      </c>
      <c r="G75" s="225">
        <f t="shared" si="16"/>
        <v>114030.91000000003</v>
      </c>
      <c r="H75" s="227">
        <f t="shared" si="14"/>
        <v>87.329898888888891</v>
      </c>
      <c r="I75" s="32">
        <v>-510000</v>
      </c>
      <c r="J75" s="227">
        <f t="shared" si="13"/>
        <v>390000</v>
      </c>
      <c r="K75" s="225">
        <f t="shared" si="15"/>
        <v>413400</v>
      </c>
      <c r="L75" s="227">
        <f t="shared" si="15"/>
        <v>438204</v>
      </c>
    </row>
    <row r="76" spans="1:12" s="115" customFormat="1" ht="14.25" x14ac:dyDescent="0.2">
      <c r="A76" s="110"/>
      <c r="B76" s="111" t="s">
        <v>1099</v>
      </c>
      <c r="C76" s="226"/>
      <c r="D76" s="227"/>
      <c r="E76" s="225"/>
      <c r="F76" s="227"/>
      <c r="G76" s="225"/>
      <c r="H76" s="227"/>
      <c r="I76" s="32">
        <v>400000</v>
      </c>
      <c r="J76" s="227">
        <f t="shared" si="13"/>
        <v>400000</v>
      </c>
      <c r="K76" s="225">
        <f t="shared" si="15"/>
        <v>424000</v>
      </c>
      <c r="L76" s="227">
        <f t="shared" si="15"/>
        <v>449440</v>
      </c>
    </row>
    <row r="77" spans="1:12" s="1" customFormat="1" ht="14.25" x14ac:dyDescent="0.2">
      <c r="A77" s="5" t="s">
        <v>559</v>
      </c>
      <c r="B77" s="7" t="s">
        <v>273</v>
      </c>
      <c r="C77" s="29">
        <v>400000</v>
      </c>
      <c r="D77" s="11">
        <v>243230.77</v>
      </c>
      <c r="E77" s="9">
        <v>0</v>
      </c>
      <c r="F77" s="11">
        <v>243230.77</v>
      </c>
      <c r="G77" s="9">
        <f t="shared" si="16"/>
        <v>156769.23000000001</v>
      </c>
      <c r="H77" s="11">
        <f t="shared" si="14"/>
        <v>60.807692500000002</v>
      </c>
      <c r="I77" s="70">
        <v>-156769</v>
      </c>
      <c r="J77" s="11">
        <f t="shared" si="13"/>
        <v>243231</v>
      </c>
      <c r="K77" s="9">
        <f t="shared" si="15"/>
        <v>257824.86</v>
      </c>
      <c r="L77" s="11">
        <f t="shared" si="15"/>
        <v>273294.35159999999</v>
      </c>
    </row>
    <row r="78" spans="1:12" s="1" customFormat="1" ht="14.25" x14ac:dyDescent="0.2">
      <c r="A78" s="5" t="s">
        <v>560</v>
      </c>
      <c r="B78" s="7" t="s">
        <v>282</v>
      </c>
      <c r="C78" s="29">
        <v>350000</v>
      </c>
      <c r="D78" s="11">
        <v>0</v>
      </c>
      <c r="E78" s="9">
        <v>0</v>
      </c>
      <c r="F78" s="11">
        <v>238164.39</v>
      </c>
      <c r="G78" s="9">
        <f t="shared" si="16"/>
        <v>111835.60999999999</v>
      </c>
      <c r="H78" s="11">
        <f t="shared" si="14"/>
        <v>68.046968571428579</v>
      </c>
      <c r="I78" s="70">
        <v>-3000</v>
      </c>
      <c r="J78" s="11">
        <f t="shared" si="13"/>
        <v>347000</v>
      </c>
      <c r="K78" s="9">
        <f t="shared" si="15"/>
        <v>367820</v>
      </c>
      <c r="L78" s="11">
        <f t="shared" si="15"/>
        <v>389889.2</v>
      </c>
    </row>
    <row r="79" spans="1:12" s="1" customFormat="1" ht="14.25" x14ac:dyDescent="0.2">
      <c r="A79" s="5" t="s">
        <v>561</v>
      </c>
      <c r="B79" s="7" t="s">
        <v>284</v>
      </c>
      <c r="C79" s="29">
        <v>70000</v>
      </c>
      <c r="D79" s="11">
        <v>0</v>
      </c>
      <c r="E79" s="9">
        <v>0</v>
      </c>
      <c r="F79" s="11">
        <v>0</v>
      </c>
      <c r="G79" s="9">
        <f t="shared" si="16"/>
        <v>70000</v>
      </c>
      <c r="H79" s="11">
        <f t="shared" si="14"/>
        <v>0</v>
      </c>
      <c r="I79" s="70">
        <v>3000</v>
      </c>
      <c r="J79" s="11">
        <f t="shared" si="13"/>
        <v>73000</v>
      </c>
      <c r="K79" s="9">
        <f t="shared" si="15"/>
        <v>77380</v>
      </c>
      <c r="L79" s="11">
        <f t="shared" si="15"/>
        <v>82022.8</v>
      </c>
    </row>
    <row r="80" spans="1:12" s="1" customFormat="1" ht="14.25" x14ac:dyDescent="0.2">
      <c r="A80" s="5"/>
      <c r="B80" s="7"/>
      <c r="C80" s="29"/>
      <c r="D80" s="11"/>
      <c r="E80" s="9"/>
      <c r="F80" s="11"/>
      <c r="G80" s="9"/>
      <c r="H80" s="11"/>
      <c r="I80" s="70"/>
      <c r="J80" s="11"/>
      <c r="K80" s="9"/>
      <c r="L80" s="11"/>
    </row>
    <row r="81" spans="1:12" s="3" customFormat="1" x14ac:dyDescent="0.25">
      <c r="A81" s="18"/>
      <c r="B81" s="19" t="s">
        <v>287</v>
      </c>
      <c r="C81" s="28">
        <f>SUM(C47:C80)</f>
        <v>8843673</v>
      </c>
      <c r="D81" s="36">
        <f t="shared" ref="D81:G81" si="17">SUM(D47:D80)</f>
        <v>792815.23</v>
      </c>
      <c r="E81" s="28">
        <f t="shared" si="17"/>
        <v>72928.320000000007</v>
      </c>
      <c r="F81" s="36">
        <f t="shared" si="17"/>
        <v>4506697.0199999996</v>
      </c>
      <c r="G81" s="28">
        <f t="shared" si="17"/>
        <v>4264047.66</v>
      </c>
      <c r="H81" s="21">
        <v>50.95</v>
      </c>
      <c r="I81" s="71">
        <f t="shared" ref="I81:L81" si="18">SUM(I47:I80)</f>
        <v>50737</v>
      </c>
      <c r="J81" s="36">
        <f t="shared" si="18"/>
        <v>8894410</v>
      </c>
      <c r="K81" s="28">
        <f t="shared" si="18"/>
        <v>9321338.5999999996</v>
      </c>
      <c r="L81" s="36">
        <f t="shared" si="18"/>
        <v>9779818.9159999993</v>
      </c>
    </row>
    <row r="82" spans="1:12" s="3" customFormat="1" x14ac:dyDescent="0.25">
      <c r="A82" s="18"/>
      <c r="B82" s="19"/>
      <c r="C82" s="28"/>
      <c r="D82" s="21"/>
      <c r="E82" s="20"/>
      <c r="F82" s="21"/>
      <c r="G82" s="9"/>
      <c r="H82" s="21"/>
      <c r="I82" s="69"/>
      <c r="J82" s="21"/>
      <c r="K82" s="20"/>
      <c r="L82" s="21"/>
    </row>
    <row r="83" spans="1:12" s="3" customFormat="1" x14ac:dyDescent="0.25">
      <c r="A83" s="18"/>
      <c r="B83" s="19" t="s">
        <v>288</v>
      </c>
      <c r="C83" s="28"/>
      <c r="D83" s="21"/>
      <c r="E83" s="20"/>
      <c r="F83" s="21"/>
      <c r="G83" s="9"/>
      <c r="H83" s="21"/>
      <c r="I83" s="69"/>
      <c r="J83" s="21"/>
      <c r="K83" s="20"/>
      <c r="L83" s="21"/>
    </row>
    <row r="84" spans="1:12" s="1" customFormat="1" ht="14.25" x14ac:dyDescent="0.2">
      <c r="A84" s="5" t="s">
        <v>562</v>
      </c>
      <c r="B84" s="7" t="s">
        <v>290</v>
      </c>
      <c r="C84" s="29">
        <v>3307856</v>
      </c>
      <c r="D84" s="11">
        <v>233980.7</v>
      </c>
      <c r="E84" s="9">
        <v>0</v>
      </c>
      <c r="F84" s="11">
        <v>1403884.2</v>
      </c>
      <c r="G84" s="9">
        <f t="shared" si="16"/>
        <v>1903971.8</v>
      </c>
      <c r="H84" s="11">
        <v>42.44</v>
      </c>
      <c r="I84" s="70">
        <v>0</v>
      </c>
      <c r="J84" s="11">
        <f t="shared" ref="J84" si="19">C84+I84</f>
        <v>3307856</v>
      </c>
      <c r="K84" s="9">
        <f t="shared" ref="K84:L84" si="20">J84*6/100+J84</f>
        <v>3506327.36</v>
      </c>
      <c r="L84" s="11">
        <f t="shared" si="20"/>
        <v>3716707.0016000001</v>
      </c>
    </row>
    <row r="85" spans="1:12" s="1" customFormat="1" ht="14.25" x14ac:dyDescent="0.2">
      <c r="A85" s="5"/>
      <c r="B85" s="7"/>
      <c r="C85" s="29"/>
      <c r="D85" s="11"/>
      <c r="E85" s="9"/>
      <c r="F85" s="11"/>
      <c r="G85" s="9"/>
      <c r="H85" s="11"/>
      <c r="I85" s="70"/>
      <c r="J85" s="11"/>
      <c r="K85" s="9"/>
      <c r="L85" s="11"/>
    </row>
    <row r="86" spans="1:12" s="3" customFormat="1" x14ac:dyDescent="0.25">
      <c r="A86" s="18"/>
      <c r="B86" s="19" t="s">
        <v>291</v>
      </c>
      <c r="C86" s="28">
        <f>SUM(C84:C85)</f>
        <v>3307856</v>
      </c>
      <c r="D86" s="36">
        <f t="shared" ref="D86:G86" si="21">SUM(D84:D85)</f>
        <v>233980.7</v>
      </c>
      <c r="E86" s="28">
        <f t="shared" si="21"/>
        <v>0</v>
      </c>
      <c r="F86" s="36">
        <f t="shared" si="21"/>
        <v>1403884.2</v>
      </c>
      <c r="G86" s="28">
        <f t="shared" si="21"/>
        <v>1903971.8</v>
      </c>
      <c r="H86" s="21">
        <v>42.44</v>
      </c>
      <c r="I86" s="71">
        <f t="shared" ref="I86:L86" si="22">SUM(I84:I85)</f>
        <v>0</v>
      </c>
      <c r="J86" s="36">
        <f t="shared" si="22"/>
        <v>3307856</v>
      </c>
      <c r="K86" s="28">
        <f t="shared" si="22"/>
        <v>3506327.36</v>
      </c>
      <c r="L86" s="36">
        <f t="shared" si="22"/>
        <v>3716707.0016000001</v>
      </c>
    </row>
    <row r="87" spans="1:12" s="3" customFormat="1" x14ac:dyDescent="0.25">
      <c r="A87" s="18"/>
      <c r="B87" s="19"/>
      <c r="C87" s="28"/>
      <c r="D87" s="21"/>
      <c r="E87" s="20"/>
      <c r="F87" s="21"/>
      <c r="G87" s="9"/>
      <c r="H87" s="21"/>
      <c r="I87" s="69"/>
      <c r="J87" s="21"/>
      <c r="K87" s="20"/>
      <c r="L87" s="21"/>
    </row>
    <row r="88" spans="1:12" s="3" customFormat="1" x14ac:dyDescent="0.25">
      <c r="A88" s="18"/>
      <c r="B88" s="19" t="s">
        <v>292</v>
      </c>
      <c r="C88" s="28">
        <f>C81+C86</f>
        <v>12151529</v>
      </c>
      <c r="D88" s="36">
        <f t="shared" ref="D88:G88" si="23">D81+D86</f>
        <v>1026795.9299999999</v>
      </c>
      <c r="E88" s="28">
        <f t="shared" si="23"/>
        <v>72928.320000000007</v>
      </c>
      <c r="F88" s="36">
        <f t="shared" si="23"/>
        <v>5910581.2199999997</v>
      </c>
      <c r="G88" s="28">
        <f t="shared" si="23"/>
        <v>6168019.46</v>
      </c>
      <c r="H88" s="21">
        <v>48.64</v>
      </c>
      <c r="I88" s="71">
        <f t="shared" ref="I88:L88" si="24">I81+I86</f>
        <v>50737</v>
      </c>
      <c r="J88" s="36">
        <f t="shared" si="24"/>
        <v>12202266</v>
      </c>
      <c r="K88" s="28">
        <f t="shared" si="24"/>
        <v>12827665.959999999</v>
      </c>
      <c r="L88" s="36">
        <f t="shared" si="24"/>
        <v>13496525.917599998</v>
      </c>
    </row>
    <row r="89" spans="1:12" s="3" customFormat="1" x14ac:dyDescent="0.25">
      <c r="A89" s="18"/>
      <c r="B89" s="19"/>
      <c r="C89" s="28"/>
      <c r="D89" s="21"/>
      <c r="E89" s="20"/>
      <c r="F89" s="21"/>
      <c r="G89" s="9"/>
      <c r="H89" s="21"/>
      <c r="I89" s="69"/>
      <c r="J89" s="21"/>
      <c r="K89" s="20"/>
      <c r="L89" s="21"/>
    </row>
    <row r="90" spans="1:12" s="3" customFormat="1" x14ac:dyDescent="0.25">
      <c r="A90" s="18"/>
      <c r="B90" s="19" t="s">
        <v>293</v>
      </c>
      <c r="C90" s="28"/>
      <c r="D90" s="21"/>
      <c r="E90" s="20"/>
      <c r="F90" s="21"/>
      <c r="G90" s="9"/>
      <c r="H90" s="21"/>
      <c r="I90" s="69"/>
      <c r="J90" s="21"/>
      <c r="K90" s="20"/>
      <c r="L90" s="21"/>
    </row>
    <row r="91" spans="1:12" s="1" customFormat="1" ht="14.25" x14ac:dyDescent="0.2">
      <c r="A91" s="5" t="s">
        <v>563</v>
      </c>
      <c r="B91" s="7" t="s">
        <v>295</v>
      </c>
      <c r="C91" s="29">
        <v>115000</v>
      </c>
      <c r="D91" s="11">
        <v>29038.06</v>
      </c>
      <c r="E91" s="9">
        <v>21344</v>
      </c>
      <c r="F91" s="11">
        <v>89127.59</v>
      </c>
      <c r="G91" s="9">
        <f t="shared" ref="G91:G99" si="25">C91-E91-F91</f>
        <v>4528.4100000000035</v>
      </c>
      <c r="H91" s="11">
        <v>77.5</v>
      </c>
      <c r="I91" s="70">
        <v>125000</v>
      </c>
      <c r="J91" s="11">
        <f t="shared" ref="J91:J99" si="26">C91+I91</f>
        <v>240000</v>
      </c>
      <c r="K91" s="9">
        <f>J91*6/100+J91</f>
        <v>254400</v>
      </c>
      <c r="L91" s="11">
        <f>K91*6/100+K91</f>
        <v>269664</v>
      </c>
    </row>
    <row r="92" spans="1:12" s="1" customFormat="1" ht="14.25" x14ac:dyDescent="0.2">
      <c r="A92" s="5" t="s">
        <v>564</v>
      </c>
      <c r="B92" s="7" t="s">
        <v>304</v>
      </c>
      <c r="C92" s="29">
        <v>0</v>
      </c>
      <c r="D92" s="11">
        <v>0</v>
      </c>
      <c r="E92" s="9">
        <v>0</v>
      </c>
      <c r="F92" s="11">
        <v>0</v>
      </c>
      <c r="G92" s="9">
        <f t="shared" si="25"/>
        <v>0</v>
      </c>
      <c r="H92" s="11">
        <v>0</v>
      </c>
      <c r="I92" s="70"/>
      <c r="J92" s="11">
        <f t="shared" si="26"/>
        <v>0</v>
      </c>
      <c r="K92" s="9">
        <f t="shared" ref="K92:L99" si="27">J92*6/100+J92</f>
        <v>0</v>
      </c>
      <c r="L92" s="11">
        <f t="shared" si="27"/>
        <v>0</v>
      </c>
    </row>
    <row r="93" spans="1:12" s="1" customFormat="1" ht="14.25" x14ac:dyDescent="0.2">
      <c r="A93" s="5" t="s">
        <v>565</v>
      </c>
      <c r="B93" s="7" t="s">
        <v>566</v>
      </c>
      <c r="C93" s="29">
        <v>0</v>
      </c>
      <c r="D93" s="11">
        <v>0</v>
      </c>
      <c r="E93" s="9">
        <v>0</v>
      </c>
      <c r="F93" s="11">
        <v>0</v>
      </c>
      <c r="G93" s="9">
        <f t="shared" si="25"/>
        <v>0</v>
      </c>
      <c r="H93" s="11">
        <v>0</v>
      </c>
      <c r="I93" s="70"/>
      <c r="J93" s="11">
        <f t="shared" si="26"/>
        <v>0</v>
      </c>
      <c r="K93" s="9">
        <f t="shared" si="27"/>
        <v>0</v>
      </c>
      <c r="L93" s="11">
        <f t="shared" si="27"/>
        <v>0</v>
      </c>
    </row>
    <row r="94" spans="1:12" s="1" customFormat="1" ht="14.25" x14ac:dyDescent="0.2">
      <c r="A94" s="5" t="s">
        <v>567</v>
      </c>
      <c r="B94" s="7" t="s">
        <v>304</v>
      </c>
      <c r="C94" s="29">
        <v>75000</v>
      </c>
      <c r="D94" s="11">
        <v>0</v>
      </c>
      <c r="E94" s="9">
        <v>0</v>
      </c>
      <c r="F94" s="11">
        <v>0</v>
      </c>
      <c r="G94" s="9">
        <f t="shared" si="25"/>
        <v>75000</v>
      </c>
      <c r="H94" s="11">
        <v>0</v>
      </c>
      <c r="I94" s="70">
        <v>-5000</v>
      </c>
      <c r="J94" s="11">
        <f t="shared" si="26"/>
        <v>70000</v>
      </c>
      <c r="K94" s="9">
        <f t="shared" si="27"/>
        <v>74200</v>
      </c>
      <c r="L94" s="11">
        <f t="shared" si="27"/>
        <v>78652</v>
      </c>
    </row>
    <row r="95" spans="1:12" s="1" customFormat="1" ht="14.25" x14ac:dyDescent="0.2">
      <c r="A95" s="5" t="s">
        <v>568</v>
      </c>
      <c r="B95" s="7" t="s">
        <v>306</v>
      </c>
      <c r="C95" s="29">
        <v>70000</v>
      </c>
      <c r="D95" s="11">
        <v>0</v>
      </c>
      <c r="E95" s="9">
        <v>0</v>
      </c>
      <c r="F95" s="11">
        <v>27950</v>
      </c>
      <c r="G95" s="9">
        <f t="shared" si="25"/>
        <v>42050</v>
      </c>
      <c r="H95" s="11">
        <v>39.92</v>
      </c>
      <c r="I95" s="70">
        <f>50000+150000</f>
        <v>200000</v>
      </c>
      <c r="J95" s="11">
        <f t="shared" si="26"/>
        <v>270000</v>
      </c>
      <c r="K95" s="9">
        <v>150000</v>
      </c>
      <c r="L95" s="11">
        <f t="shared" si="27"/>
        <v>159000</v>
      </c>
    </row>
    <row r="96" spans="1:12" s="1" customFormat="1" ht="14.25" x14ac:dyDescent="0.2">
      <c r="A96" s="5" t="s">
        <v>569</v>
      </c>
      <c r="B96" s="7" t="s">
        <v>315</v>
      </c>
      <c r="C96" s="29">
        <v>0</v>
      </c>
      <c r="D96" s="11">
        <v>0</v>
      </c>
      <c r="E96" s="9">
        <v>0</v>
      </c>
      <c r="F96" s="11">
        <v>0</v>
      </c>
      <c r="G96" s="9">
        <f t="shared" si="25"/>
        <v>0</v>
      </c>
      <c r="H96" s="11">
        <v>0</v>
      </c>
      <c r="I96" s="70"/>
      <c r="J96" s="11">
        <f t="shared" si="26"/>
        <v>0</v>
      </c>
      <c r="K96" s="9">
        <f t="shared" si="27"/>
        <v>0</v>
      </c>
      <c r="L96" s="11">
        <f t="shared" si="27"/>
        <v>0</v>
      </c>
    </row>
    <row r="97" spans="1:12" s="1" customFormat="1" ht="14.25" x14ac:dyDescent="0.2">
      <c r="A97" s="5" t="s">
        <v>570</v>
      </c>
      <c r="B97" s="7" t="s">
        <v>317</v>
      </c>
      <c r="C97" s="29">
        <v>0</v>
      </c>
      <c r="D97" s="11">
        <v>0</v>
      </c>
      <c r="E97" s="9">
        <v>0</v>
      </c>
      <c r="F97" s="11">
        <v>0</v>
      </c>
      <c r="G97" s="9">
        <f t="shared" si="25"/>
        <v>0</v>
      </c>
      <c r="H97" s="11">
        <v>0</v>
      </c>
      <c r="I97" s="70"/>
      <c r="J97" s="11">
        <f t="shared" si="26"/>
        <v>0</v>
      </c>
      <c r="K97" s="9">
        <f t="shared" si="27"/>
        <v>0</v>
      </c>
      <c r="L97" s="11">
        <f t="shared" si="27"/>
        <v>0</v>
      </c>
    </row>
    <row r="98" spans="1:12" s="1" customFormat="1" ht="14.25" x14ac:dyDescent="0.2">
      <c r="A98" s="5" t="s">
        <v>571</v>
      </c>
      <c r="B98" s="7" t="s">
        <v>319</v>
      </c>
      <c r="C98" s="29">
        <v>62156</v>
      </c>
      <c r="D98" s="11">
        <v>0</v>
      </c>
      <c r="E98" s="9">
        <v>0</v>
      </c>
      <c r="F98" s="11">
        <v>9087.1200000000008</v>
      </c>
      <c r="G98" s="9">
        <f t="shared" si="25"/>
        <v>53068.88</v>
      </c>
      <c r="H98" s="11">
        <v>14.61</v>
      </c>
      <c r="I98" s="70"/>
      <c r="J98" s="11">
        <f t="shared" si="26"/>
        <v>62156</v>
      </c>
      <c r="K98" s="9">
        <f t="shared" si="27"/>
        <v>65885.36</v>
      </c>
      <c r="L98" s="11">
        <f t="shared" si="27"/>
        <v>69838.481599999999</v>
      </c>
    </row>
    <row r="99" spans="1:12" s="1" customFormat="1" ht="14.25" x14ac:dyDescent="0.2">
      <c r="A99" s="5" t="s">
        <v>572</v>
      </c>
      <c r="B99" s="7" t="s">
        <v>323</v>
      </c>
      <c r="C99" s="29">
        <v>449029</v>
      </c>
      <c r="D99" s="11">
        <v>0</v>
      </c>
      <c r="E99" s="9">
        <v>0</v>
      </c>
      <c r="F99" s="11">
        <v>91646.45</v>
      </c>
      <c r="G99" s="9">
        <f t="shared" si="25"/>
        <v>357382.55</v>
      </c>
      <c r="H99" s="11">
        <v>20.399999999999999</v>
      </c>
      <c r="I99" s="70"/>
      <c r="J99" s="11">
        <f t="shared" si="26"/>
        <v>449029</v>
      </c>
      <c r="K99" s="9">
        <f t="shared" si="27"/>
        <v>475970.74</v>
      </c>
      <c r="L99" s="11">
        <f t="shared" si="27"/>
        <v>504528.98440000002</v>
      </c>
    </row>
    <row r="100" spans="1:12" s="1" customFormat="1" ht="14.25" x14ac:dyDescent="0.2">
      <c r="A100" s="5"/>
      <c r="B100" s="7"/>
      <c r="C100" s="29"/>
      <c r="D100" s="11"/>
      <c r="E100" s="9"/>
      <c r="F100" s="11"/>
      <c r="G100" s="9"/>
      <c r="H100" s="11"/>
      <c r="I100" s="70"/>
      <c r="J100" s="11"/>
      <c r="K100" s="9"/>
      <c r="L100" s="11"/>
    </row>
    <row r="101" spans="1:12" s="3" customFormat="1" x14ac:dyDescent="0.25">
      <c r="A101" s="18"/>
      <c r="B101" s="19" t="s">
        <v>1003</v>
      </c>
      <c r="C101" s="28">
        <f>SUM(C91:C100)</f>
        <v>771185</v>
      </c>
      <c r="D101" s="36">
        <f t="shared" ref="D101:G101" si="28">SUM(D91:D100)</f>
        <v>29038.06</v>
      </c>
      <c r="E101" s="28">
        <f t="shared" si="28"/>
        <v>21344</v>
      </c>
      <c r="F101" s="36">
        <f t="shared" si="28"/>
        <v>217811.15999999997</v>
      </c>
      <c r="G101" s="28">
        <f t="shared" si="28"/>
        <v>532029.84</v>
      </c>
      <c r="H101" s="21">
        <v>28.24</v>
      </c>
      <c r="I101" s="71">
        <f t="shared" ref="I101:L101" si="29">SUM(I91:I100)</f>
        <v>320000</v>
      </c>
      <c r="J101" s="36">
        <f t="shared" si="29"/>
        <v>1091185</v>
      </c>
      <c r="K101" s="28">
        <f t="shared" si="29"/>
        <v>1020456.1</v>
      </c>
      <c r="L101" s="36">
        <f t="shared" si="29"/>
        <v>1081683.466</v>
      </c>
    </row>
    <row r="102" spans="1:12" s="3" customFormat="1" x14ac:dyDescent="0.25">
      <c r="A102" s="18"/>
      <c r="B102" s="19"/>
      <c r="C102" s="28"/>
      <c r="D102" s="21"/>
      <c r="E102" s="20"/>
      <c r="F102" s="21"/>
      <c r="G102" s="20"/>
      <c r="H102" s="21"/>
      <c r="I102" s="69"/>
      <c r="J102" s="21"/>
      <c r="K102" s="20"/>
      <c r="L102" s="21"/>
    </row>
    <row r="103" spans="1:12" s="3" customFormat="1" x14ac:dyDescent="0.25">
      <c r="A103" s="18"/>
      <c r="B103" s="19" t="s">
        <v>338</v>
      </c>
      <c r="C103" s="28">
        <f>C41+C88+C101</f>
        <v>23927732</v>
      </c>
      <c r="D103" s="36">
        <f t="shared" ref="D103:G103" si="30">D41+D88+D101</f>
        <v>1925530.0899999999</v>
      </c>
      <c r="E103" s="28">
        <f t="shared" si="30"/>
        <v>104043.73000000001</v>
      </c>
      <c r="F103" s="36">
        <f t="shared" si="30"/>
        <v>11105442.09</v>
      </c>
      <c r="G103" s="28">
        <f t="shared" si="30"/>
        <v>12718246.18</v>
      </c>
      <c r="H103" s="21">
        <v>46.41</v>
      </c>
      <c r="I103" s="71">
        <f t="shared" ref="I103:L103" si="31">I41+I88+I101</f>
        <v>-66238.280000000028</v>
      </c>
      <c r="J103" s="36">
        <f t="shared" si="31"/>
        <v>23861493.719999999</v>
      </c>
      <c r="K103" s="28">
        <f t="shared" si="31"/>
        <v>25050247.343199998</v>
      </c>
      <c r="L103" s="36">
        <f t="shared" si="31"/>
        <v>26452462.183792002</v>
      </c>
    </row>
    <row r="104" spans="1:12" s="3" customFormat="1" x14ac:dyDescent="0.25">
      <c r="A104" s="18"/>
      <c r="B104" s="19"/>
      <c r="C104" s="28"/>
      <c r="D104" s="21"/>
      <c r="E104" s="20"/>
      <c r="F104" s="21"/>
      <c r="G104" s="20"/>
      <c r="H104" s="21"/>
      <c r="I104" s="69"/>
      <c r="J104" s="21"/>
      <c r="K104" s="20"/>
      <c r="L104" s="21"/>
    </row>
    <row r="105" spans="1:12" s="3" customFormat="1" x14ac:dyDescent="0.25">
      <c r="A105" s="18"/>
      <c r="B105" s="19" t="s">
        <v>339</v>
      </c>
      <c r="C105" s="28">
        <f>C103</f>
        <v>23927732</v>
      </c>
      <c r="D105" s="36">
        <f t="shared" ref="D105:L105" si="32">D103</f>
        <v>1925530.0899999999</v>
      </c>
      <c r="E105" s="28">
        <f t="shared" si="32"/>
        <v>104043.73000000001</v>
      </c>
      <c r="F105" s="36">
        <f t="shared" si="32"/>
        <v>11105442.09</v>
      </c>
      <c r="G105" s="28">
        <f t="shared" si="32"/>
        <v>12718246.18</v>
      </c>
      <c r="H105" s="21">
        <v>46.41</v>
      </c>
      <c r="I105" s="71">
        <f t="shared" si="32"/>
        <v>-66238.280000000028</v>
      </c>
      <c r="J105" s="36">
        <f t="shared" si="32"/>
        <v>23861493.719999999</v>
      </c>
      <c r="K105" s="28">
        <f t="shared" si="32"/>
        <v>25050247.343199998</v>
      </c>
      <c r="L105" s="36">
        <f t="shared" si="32"/>
        <v>26452462.183792002</v>
      </c>
    </row>
    <row r="106" spans="1:12" s="3" customFormat="1" x14ac:dyDescent="0.25">
      <c r="A106" s="18"/>
      <c r="B106" s="19"/>
      <c r="C106" s="28"/>
      <c r="D106" s="21"/>
      <c r="E106" s="20"/>
      <c r="F106" s="21"/>
      <c r="G106" s="20"/>
      <c r="H106" s="21"/>
      <c r="I106" s="69"/>
      <c r="J106" s="21"/>
      <c r="K106" s="20"/>
      <c r="L106" s="21"/>
    </row>
    <row r="107" spans="1:12" s="3" customFormat="1" x14ac:dyDescent="0.25">
      <c r="A107" s="18"/>
      <c r="B107" s="19" t="s">
        <v>340</v>
      </c>
      <c r="C107" s="28"/>
      <c r="D107" s="21"/>
      <c r="E107" s="20"/>
      <c r="F107" s="21"/>
      <c r="G107" s="20"/>
      <c r="H107" s="21"/>
      <c r="I107" s="69"/>
      <c r="J107" s="21"/>
      <c r="K107" s="20"/>
      <c r="L107" s="21"/>
    </row>
    <row r="108" spans="1:12" s="3" customFormat="1" x14ac:dyDescent="0.25">
      <c r="A108" s="18"/>
      <c r="B108" s="19"/>
      <c r="C108" s="28"/>
      <c r="D108" s="21"/>
      <c r="E108" s="20"/>
      <c r="F108" s="21"/>
      <c r="G108" s="20"/>
      <c r="H108" s="21"/>
      <c r="I108" s="69"/>
      <c r="J108" s="21"/>
      <c r="K108" s="20"/>
      <c r="L108" s="21"/>
    </row>
    <row r="109" spans="1:12" s="3" customFormat="1" x14ac:dyDescent="0.25">
      <c r="A109" s="18"/>
      <c r="B109" s="19" t="s">
        <v>381</v>
      </c>
      <c r="C109" s="28"/>
      <c r="D109" s="21"/>
      <c r="E109" s="20"/>
      <c r="F109" s="21"/>
      <c r="G109" s="20"/>
      <c r="H109" s="21"/>
      <c r="I109" s="69"/>
      <c r="J109" s="21"/>
      <c r="K109" s="20"/>
      <c r="L109" s="21"/>
    </row>
    <row r="110" spans="1:12" s="3" customFormat="1" x14ac:dyDescent="0.25">
      <c r="A110" s="18"/>
      <c r="B110" s="19"/>
      <c r="C110" s="28"/>
      <c r="D110" s="21"/>
      <c r="E110" s="20"/>
      <c r="F110" s="21"/>
      <c r="G110" s="20"/>
      <c r="H110" s="21"/>
      <c r="I110" s="69"/>
      <c r="J110" s="21"/>
      <c r="K110" s="20"/>
      <c r="L110" s="21"/>
    </row>
    <row r="111" spans="1:12" s="1" customFormat="1" ht="14.25" x14ac:dyDescent="0.2">
      <c r="A111" s="5" t="s">
        <v>574</v>
      </c>
      <c r="B111" s="7" t="s">
        <v>383</v>
      </c>
      <c r="C111" s="29">
        <v>0</v>
      </c>
      <c r="D111" s="11">
        <v>0</v>
      </c>
      <c r="E111" s="9">
        <v>0</v>
      </c>
      <c r="F111" s="11">
        <v>-600</v>
      </c>
      <c r="G111" s="9">
        <v>600</v>
      </c>
      <c r="H111" s="11">
        <v>0</v>
      </c>
      <c r="I111" s="70">
        <v>0</v>
      </c>
      <c r="J111" s="11">
        <f t="shared" ref="J111:J115" si="33">C111+I111</f>
        <v>0</v>
      </c>
      <c r="K111" s="9"/>
      <c r="L111" s="11"/>
    </row>
    <row r="112" spans="1:12" s="1" customFormat="1" ht="14.25" x14ac:dyDescent="0.2">
      <c r="A112" s="5" t="s">
        <v>575</v>
      </c>
      <c r="B112" s="7" t="s">
        <v>502</v>
      </c>
      <c r="C112" s="29">
        <v>-220000</v>
      </c>
      <c r="D112" s="11">
        <v>0</v>
      </c>
      <c r="E112" s="9">
        <v>0</v>
      </c>
      <c r="F112" s="11">
        <v>0</v>
      </c>
      <c r="G112" s="9">
        <v>-220000</v>
      </c>
      <c r="H112" s="11">
        <v>0</v>
      </c>
      <c r="I112" s="70">
        <v>0</v>
      </c>
      <c r="J112" s="11">
        <f t="shared" si="33"/>
        <v>-220000</v>
      </c>
      <c r="K112" s="9">
        <f t="shared" ref="K112:L112" si="34">J112*6/100+J112</f>
        <v>-233200</v>
      </c>
      <c r="L112" s="11">
        <f t="shared" si="34"/>
        <v>-247192</v>
      </c>
    </row>
    <row r="113" spans="1:12" s="1" customFormat="1" ht="14.25" x14ac:dyDescent="0.2">
      <c r="A113" s="5" t="s">
        <v>576</v>
      </c>
      <c r="B113" s="7" t="s">
        <v>403</v>
      </c>
      <c r="C113" s="29">
        <v>0</v>
      </c>
      <c r="D113" s="11">
        <v>0</v>
      </c>
      <c r="E113" s="9">
        <v>0</v>
      </c>
      <c r="F113" s="11">
        <v>0</v>
      </c>
      <c r="G113" s="9">
        <v>0</v>
      </c>
      <c r="H113" s="11">
        <v>0</v>
      </c>
      <c r="I113" s="70">
        <v>0</v>
      </c>
      <c r="J113" s="11">
        <f t="shared" si="33"/>
        <v>0</v>
      </c>
      <c r="K113" s="9">
        <f t="shared" ref="K113:L113" si="35">J113*6/100+J113</f>
        <v>0</v>
      </c>
      <c r="L113" s="11">
        <f t="shared" si="35"/>
        <v>0</v>
      </c>
    </row>
    <row r="114" spans="1:12" s="1" customFormat="1" ht="14.25" x14ac:dyDescent="0.2">
      <c r="A114" s="5" t="s">
        <v>577</v>
      </c>
      <c r="B114" s="7" t="s">
        <v>410</v>
      </c>
      <c r="C114" s="29">
        <v>-170783</v>
      </c>
      <c r="D114" s="11">
        <v>0</v>
      </c>
      <c r="E114" s="9">
        <v>0</v>
      </c>
      <c r="F114" s="11">
        <v>-76647.08</v>
      </c>
      <c r="G114" s="9">
        <v>-94135.92</v>
      </c>
      <c r="H114" s="11">
        <v>44.87</v>
      </c>
      <c r="I114" s="70">
        <v>0</v>
      </c>
      <c r="J114" s="11">
        <f t="shared" si="33"/>
        <v>-170783</v>
      </c>
      <c r="K114" s="9">
        <f t="shared" ref="K114:L114" si="36">J114*6/100+J114</f>
        <v>-181029.98</v>
      </c>
      <c r="L114" s="11">
        <f t="shared" si="36"/>
        <v>-191891.7788</v>
      </c>
    </row>
    <row r="115" spans="1:12" s="1" customFormat="1" ht="14.25" x14ac:dyDescent="0.2">
      <c r="A115" s="5" t="s">
        <v>578</v>
      </c>
      <c r="B115" s="7" t="s">
        <v>411</v>
      </c>
      <c r="C115" s="29">
        <v>0</v>
      </c>
      <c r="D115" s="11">
        <v>0</v>
      </c>
      <c r="E115" s="9">
        <v>0</v>
      </c>
      <c r="F115" s="11">
        <v>-2902</v>
      </c>
      <c r="G115" s="9">
        <v>2902</v>
      </c>
      <c r="H115" s="11">
        <v>0</v>
      </c>
      <c r="I115" s="70">
        <v>0</v>
      </c>
      <c r="J115" s="11">
        <f t="shared" si="33"/>
        <v>0</v>
      </c>
      <c r="K115" s="9">
        <f t="shared" ref="K115:L115" si="37">J115*6/100+J115</f>
        <v>0</v>
      </c>
      <c r="L115" s="11">
        <f t="shared" si="37"/>
        <v>0</v>
      </c>
    </row>
    <row r="116" spans="1:12" s="1" customFormat="1" ht="14.25" x14ac:dyDescent="0.2">
      <c r="A116" s="5"/>
      <c r="B116" s="7"/>
      <c r="C116" s="29"/>
      <c r="D116" s="11"/>
      <c r="E116" s="9"/>
      <c r="F116" s="11"/>
      <c r="G116" s="9"/>
      <c r="H116" s="11"/>
      <c r="I116" s="70"/>
      <c r="J116" s="11"/>
      <c r="K116" s="9"/>
      <c r="L116" s="11"/>
    </row>
    <row r="117" spans="1:12" s="3" customFormat="1" x14ac:dyDescent="0.25">
      <c r="A117" s="18"/>
      <c r="B117" s="19" t="s">
        <v>426</v>
      </c>
      <c r="C117" s="28">
        <f>SUM(C111:C116)</f>
        <v>-390783</v>
      </c>
      <c r="D117" s="36">
        <f t="shared" ref="D117:G117" si="38">SUM(D111:D116)</f>
        <v>0</v>
      </c>
      <c r="E117" s="28">
        <f t="shared" si="38"/>
        <v>0</v>
      </c>
      <c r="F117" s="36">
        <f t="shared" si="38"/>
        <v>-80149.08</v>
      </c>
      <c r="G117" s="28">
        <f t="shared" si="38"/>
        <v>-310633.92</v>
      </c>
      <c r="H117" s="21">
        <v>20.5</v>
      </c>
      <c r="I117" s="71">
        <f t="shared" ref="I117:L117" si="39">SUM(I111:I116)</f>
        <v>0</v>
      </c>
      <c r="J117" s="36">
        <f t="shared" si="39"/>
        <v>-390783</v>
      </c>
      <c r="K117" s="28">
        <f t="shared" si="39"/>
        <v>-414229.98</v>
      </c>
      <c r="L117" s="36">
        <f t="shared" si="39"/>
        <v>-439083.77879999997</v>
      </c>
    </row>
    <row r="118" spans="1:12" s="3" customFormat="1" x14ac:dyDescent="0.25">
      <c r="A118" s="18"/>
      <c r="B118" s="19"/>
      <c r="C118" s="28"/>
      <c r="D118" s="21"/>
      <c r="E118" s="20"/>
      <c r="F118" s="21"/>
      <c r="G118" s="20"/>
      <c r="H118" s="21"/>
      <c r="I118" s="69"/>
      <c r="J118" s="21"/>
      <c r="K118" s="20"/>
      <c r="L118" s="21"/>
    </row>
    <row r="119" spans="1:12" s="3" customFormat="1" x14ac:dyDescent="0.25">
      <c r="A119" s="18"/>
      <c r="B119" s="19" t="s">
        <v>427</v>
      </c>
      <c r="C119" s="28">
        <f>C117</f>
        <v>-390783</v>
      </c>
      <c r="D119" s="36">
        <f t="shared" ref="D119:L119" si="40">D117</f>
        <v>0</v>
      </c>
      <c r="E119" s="28">
        <f t="shared" si="40"/>
        <v>0</v>
      </c>
      <c r="F119" s="36">
        <f t="shared" si="40"/>
        <v>-80149.08</v>
      </c>
      <c r="G119" s="28">
        <f t="shared" si="40"/>
        <v>-310633.92</v>
      </c>
      <c r="H119" s="21">
        <v>20.5</v>
      </c>
      <c r="I119" s="71">
        <f t="shared" si="40"/>
        <v>0</v>
      </c>
      <c r="J119" s="36">
        <f t="shared" si="40"/>
        <v>-390783</v>
      </c>
      <c r="K119" s="28">
        <f t="shared" si="40"/>
        <v>-414229.98</v>
      </c>
      <c r="L119" s="36">
        <f t="shared" si="40"/>
        <v>-439083.77879999997</v>
      </c>
    </row>
    <row r="120" spans="1:12" s="3" customFormat="1" x14ac:dyDescent="0.25">
      <c r="A120" s="18"/>
      <c r="B120" s="19"/>
      <c r="C120" s="28"/>
      <c r="D120" s="21"/>
      <c r="E120" s="20"/>
      <c r="F120" s="21"/>
      <c r="G120" s="20"/>
      <c r="H120" s="21"/>
      <c r="I120" s="69"/>
      <c r="J120" s="21"/>
      <c r="K120" s="20"/>
      <c r="L120" s="21"/>
    </row>
    <row r="121" spans="1:12" s="3" customFormat="1" x14ac:dyDescent="0.25">
      <c r="A121" s="18"/>
      <c r="B121" s="19" t="s">
        <v>428</v>
      </c>
      <c r="C121" s="28">
        <f>C119</f>
        <v>-390783</v>
      </c>
      <c r="D121" s="36">
        <f t="shared" ref="D121:G121" si="41">D119</f>
        <v>0</v>
      </c>
      <c r="E121" s="28">
        <f t="shared" si="41"/>
        <v>0</v>
      </c>
      <c r="F121" s="36">
        <f t="shared" si="41"/>
        <v>-80149.08</v>
      </c>
      <c r="G121" s="28">
        <f t="shared" si="41"/>
        <v>-310633.92</v>
      </c>
      <c r="H121" s="21">
        <v>20.5</v>
      </c>
      <c r="I121" s="71">
        <f t="shared" ref="I121:L121" si="42">I119</f>
        <v>0</v>
      </c>
      <c r="J121" s="36">
        <f t="shared" si="42"/>
        <v>-390783</v>
      </c>
      <c r="K121" s="28">
        <f t="shared" si="42"/>
        <v>-414229.98</v>
      </c>
      <c r="L121" s="36">
        <f t="shared" si="42"/>
        <v>-439083.77879999997</v>
      </c>
    </row>
    <row r="122" spans="1:12" s="3" customFormat="1" x14ac:dyDescent="0.25">
      <c r="A122" s="18"/>
      <c r="B122" s="19"/>
      <c r="C122" s="28"/>
      <c r="D122" s="21"/>
      <c r="E122" s="20"/>
      <c r="F122" s="21"/>
      <c r="G122" s="20"/>
      <c r="H122" s="21"/>
      <c r="I122" s="69"/>
      <c r="J122" s="21"/>
      <c r="K122" s="20"/>
      <c r="L122" s="21"/>
    </row>
    <row r="123" spans="1:12" s="3" customFormat="1" x14ac:dyDescent="0.25">
      <c r="A123" s="18"/>
      <c r="B123" s="19" t="s">
        <v>429</v>
      </c>
      <c r="C123" s="28">
        <f>C121</f>
        <v>-390783</v>
      </c>
      <c r="D123" s="36">
        <f t="shared" ref="D123:G123" si="43">D121</f>
        <v>0</v>
      </c>
      <c r="E123" s="28">
        <f t="shared" si="43"/>
        <v>0</v>
      </c>
      <c r="F123" s="36">
        <f t="shared" si="43"/>
        <v>-80149.08</v>
      </c>
      <c r="G123" s="28">
        <f t="shared" si="43"/>
        <v>-310633.92</v>
      </c>
      <c r="H123" s="21">
        <v>20.5</v>
      </c>
      <c r="I123" s="71">
        <f t="shared" ref="I123:L123" si="44">I121</f>
        <v>0</v>
      </c>
      <c r="J123" s="36">
        <f t="shared" si="44"/>
        <v>-390783</v>
      </c>
      <c r="K123" s="28">
        <f t="shared" si="44"/>
        <v>-414229.98</v>
      </c>
      <c r="L123" s="36">
        <f t="shared" si="44"/>
        <v>-439083.77879999997</v>
      </c>
    </row>
    <row r="124" spans="1:12" s="1" customFormat="1" ht="14.25" x14ac:dyDescent="0.2">
      <c r="A124" s="5"/>
      <c r="B124" s="7"/>
      <c r="C124" s="29"/>
      <c r="D124" s="11"/>
      <c r="E124" s="9"/>
      <c r="F124" s="11"/>
      <c r="G124" s="9"/>
      <c r="H124" s="11"/>
      <c r="I124" s="70"/>
      <c r="J124" s="11"/>
      <c r="K124" s="9"/>
      <c r="L124" s="11"/>
    </row>
    <row r="125" spans="1:12" s="3" customFormat="1" x14ac:dyDescent="0.25">
      <c r="A125" s="18"/>
      <c r="B125" s="19" t="s">
        <v>431</v>
      </c>
      <c r="C125" s="28"/>
      <c r="D125" s="21"/>
      <c r="E125" s="20"/>
      <c r="F125" s="21"/>
      <c r="G125" s="20"/>
      <c r="H125" s="21"/>
      <c r="I125" s="69"/>
      <c r="J125" s="21"/>
      <c r="K125" s="20"/>
      <c r="L125" s="21"/>
    </row>
    <row r="126" spans="1:12" s="1" customFormat="1" ht="14.25" x14ac:dyDescent="0.2">
      <c r="A126" s="5" t="s">
        <v>579</v>
      </c>
      <c r="B126" s="7" t="s">
        <v>433</v>
      </c>
      <c r="C126" s="29">
        <f>C105</f>
        <v>23927732</v>
      </c>
      <c r="D126" s="37">
        <f t="shared" ref="D126:L126" si="45">D105</f>
        <v>1925530.0899999999</v>
      </c>
      <c r="E126" s="29">
        <f t="shared" si="45"/>
        <v>104043.73000000001</v>
      </c>
      <c r="F126" s="37">
        <f t="shared" si="45"/>
        <v>11105442.09</v>
      </c>
      <c r="G126" s="29">
        <f t="shared" si="45"/>
        <v>12718246.18</v>
      </c>
      <c r="H126" s="11">
        <v>46.41</v>
      </c>
      <c r="I126" s="76">
        <f t="shared" si="45"/>
        <v>-66238.280000000028</v>
      </c>
      <c r="J126" s="37">
        <f t="shared" si="45"/>
        <v>23861493.719999999</v>
      </c>
      <c r="K126" s="29">
        <f t="shared" si="45"/>
        <v>25050247.343199998</v>
      </c>
      <c r="L126" s="37">
        <f t="shared" si="45"/>
        <v>26452462.183792002</v>
      </c>
    </row>
    <row r="127" spans="1:12" s="1" customFormat="1" ht="14.25" x14ac:dyDescent="0.2">
      <c r="A127" s="5" t="s">
        <v>580</v>
      </c>
      <c r="B127" s="7" t="s">
        <v>429</v>
      </c>
      <c r="C127" s="29">
        <f>C123</f>
        <v>-390783</v>
      </c>
      <c r="D127" s="37">
        <f t="shared" ref="D127:G127" si="46">D123</f>
        <v>0</v>
      </c>
      <c r="E127" s="29">
        <f t="shared" si="46"/>
        <v>0</v>
      </c>
      <c r="F127" s="37">
        <f t="shared" si="46"/>
        <v>-80149.08</v>
      </c>
      <c r="G127" s="29">
        <f t="shared" si="46"/>
        <v>-310633.92</v>
      </c>
      <c r="H127" s="11">
        <v>20.5</v>
      </c>
      <c r="I127" s="76">
        <f t="shared" ref="I127:L127" si="47">I123</f>
        <v>0</v>
      </c>
      <c r="J127" s="37">
        <f t="shared" si="47"/>
        <v>-390783</v>
      </c>
      <c r="K127" s="29">
        <f t="shared" si="47"/>
        <v>-414229.98</v>
      </c>
      <c r="L127" s="37">
        <f t="shared" si="47"/>
        <v>-439083.77879999997</v>
      </c>
    </row>
    <row r="128" spans="1:12" s="1" customFormat="1" ht="14.25" x14ac:dyDescent="0.2">
      <c r="A128" s="5"/>
      <c r="B128" s="7"/>
      <c r="C128" s="29"/>
      <c r="D128" s="11"/>
      <c r="E128" s="9"/>
      <c r="F128" s="11"/>
      <c r="G128" s="9"/>
      <c r="H128" s="11"/>
      <c r="I128" s="70"/>
      <c r="J128" s="11"/>
      <c r="K128" s="9"/>
      <c r="L128" s="11"/>
    </row>
    <row r="129" spans="1:12" s="3" customFormat="1" x14ac:dyDescent="0.25">
      <c r="A129" s="18"/>
      <c r="B129" s="19" t="s">
        <v>435</v>
      </c>
      <c r="C129" s="28">
        <f>C126+C127</f>
        <v>23536949</v>
      </c>
      <c r="D129" s="36">
        <f t="shared" ref="D129:G129" si="48">D126+D127</f>
        <v>1925530.0899999999</v>
      </c>
      <c r="E129" s="28">
        <f t="shared" si="48"/>
        <v>104043.73000000001</v>
      </c>
      <c r="F129" s="36">
        <f t="shared" si="48"/>
        <v>11025293.01</v>
      </c>
      <c r="G129" s="28">
        <f t="shared" si="48"/>
        <v>12407612.26</v>
      </c>
      <c r="H129" s="21">
        <v>46.84</v>
      </c>
      <c r="I129" s="71">
        <f>I126+I127</f>
        <v>-66238.280000000028</v>
      </c>
      <c r="J129" s="36">
        <f t="shared" ref="J129:L129" si="49">J126+J127</f>
        <v>23470710.719999999</v>
      </c>
      <c r="K129" s="28">
        <f t="shared" si="49"/>
        <v>24636017.363199998</v>
      </c>
      <c r="L129" s="36">
        <f t="shared" si="49"/>
        <v>26013378.404992003</v>
      </c>
    </row>
    <row r="130" spans="1:12" s="3" customFormat="1" x14ac:dyDescent="0.25">
      <c r="A130" s="18"/>
      <c r="B130" s="19"/>
      <c r="C130" s="28"/>
      <c r="D130" s="21"/>
      <c r="E130" s="20"/>
      <c r="F130" s="21"/>
      <c r="G130" s="20"/>
      <c r="H130" s="21"/>
      <c r="I130" s="69"/>
      <c r="J130" s="21"/>
      <c r="K130" s="20"/>
      <c r="L130" s="21"/>
    </row>
    <row r="131" spans="1:12" s="3" customFormat="1" x14ac:dyDescent="0.25">
      <c r="A131" s="18"/>
      <c r="B131" s="19" t="s">
        <v>436</v>
      </c>
      <c r="C131" s="28">
        <f>C129</f>
        <v>23536949</v>
      </c>
      <c r="D131" s="36">
        <f t="shared" ref="D131:G131" si="50">D129</f>
        <v>1925530.0899999999</v>
      </c>
      <c r="E131" s="28">
        <f t="shared" si="50"/>
        <v>104043.73000000001</v>
      </c>
      <c r="F131" s="36">
        <f t="shared" si="50"/>
        <v>11025293.01</v>
      </c>
      <c r="G131" s="28">
        <f t="shared" si="50"/>
        <v>12407612.26</v>
      </c>
      <c r="H131" s="21">
        <v>46.84</v>
      </c>
      <c r="I131" s="71">
        <f t="shared" ref="I131:L131" si="51">I129</f>
        <v>-66238.280000000028</v>
      </c>
      <c r="J131" s="36">
        <f t="shared" si="51"/>
        <v>23470710.719999999</v>
      </c>
      <c r="K131" s="28">
        <f t="shared" si="51"/>
        <v>24636017.363199998</v>
      </c>
      <c r="L131" s="36">
        <f t="shared" si="51"/>
        <v>26013378.404992003</v>
      </c>
    </row>
    <row r="132" spans="1:12" s="3" customFormat="1" x14ac:dyDescent="0.25">
      <c r="A132" s="18"/>
      <c r="B132" s="19"/>
      <c r="C132" s="28"/>
      <c r="D132" s="21"/>
      <c r="E132" s="20"/>
      <c r="F132" s="21"/>
      <c r="G132" s="20"/>
      <c r="H132" s="21"/>
      <c r="I132" s="69"/>
      <c r="J132" s="21"/>
      <c r="K132" s="20"/>
      <c r="L132" s="21"/>
    </row>
    <row r="133" spans="1:12" s="3" customFormat="1" x14ac:dyDescent="0.25">
      <c r="A133" s="18"/>
      <c r="B133" s="19" t="s">
        <v>437</v>
      </c>
      <c r="C133" s="28"/>
      <c r="D133" s="21"/>
      <c r="E133" s="20"/>
      <c r="F133" s="21"/>
      <c r="G133" s="20"/>
      <c r="H133" s="21"/>
      <c r="I133" s="69"/>
      <c r="J133" s="21"/>
      <c r="K133" s="20"/>
      <c r="L133" s="21"/>
    </row>
    <row r="134" spans="1:12" s="3" customFormat="1" x14ac:dyDescent="0.25">
      <c r="A134" s="18"/>
      <c r="B134" s="19"/>
      <c r="C134" s="28"/>
      <c r="D134" s="21"/>
      <c r="E134" s="20"/>
      <c r="F134" s="21"/>
      <c r="G134" s="20"/>
      <c r="H134" s="21"/>
      <c r="I134" s="69"/>
      <c r="J134" s="21"/>
      <c r="K134" s="20"/>
      <c r="L134" s="21"/>
    </row>
    <row r="135" spans="1:12" s="1" customFormat="1" ht="14.25" x14ac:dyDescent="0.2">
      <c r="A135" s="5" t="s">
        <v>581</v>
      </c>
      <c r="B135" s="7" t="s">
        <v>439</v>
      </c>
      <c r="C135" s="29">
        <v>510000</v>
      </c>
      <c r="D135" s="11">
        <v>0</v>
      </c>
      <c r="E135" s="9">
        <v>0</v>
      </c>
      <c r="F135" s="11">
        <v>311200</v>
      </c>
      <c r="G135" s="9">
        <f t="shared" ref="G135:G141" si="52">C135-E135-F135</f>
        <v>198800</v>
      </c>
      <c r="H135" s="11">
        <v>61.01</v>
      </c>
      <c r="I135" s="70">
        <v>200000</v>
      </c>
      <c r="J135" s="11">
        <f t="shared" ref="J135:J141" si="53">C135+I135</f>
        <v>710000</v>
      </c>
      <c r="K135" s="9">
        <v>0</v>
      </c>
      <c r="L135" s="11">
        <f>K135*9/100+K135</f>
        <v>0</v>
      </c>
    </row>
    <row r="136" spans="1:12" s="1" customFormat="1" ht="14.25" x14ac:dyDescent="0.2">
      <c r="A136" s="5"/>
      <c r="B136" s="111" t="s">
        <v>1053</v>
      </c>
      <c r="C136" s="29"/>
      <c r="D136" s="11"/>
      <c r="E136" s="9"/>
      <c r="F136" s="11"/>
      <c r="G136" s="9"/>
      <c r="H136" s="11"/>
      <c r="I136" s="70">
        <v>0</v>
      </c>
      <c r="J136" s="11">
        <f t="shared" si="53"/>
        <v>0</v>
      </c>
      <c r="K136" s="9">
        <f>'[3]ALL DEPARTMENTS'!$I$544</f>
        <v>100000</v>
      </c>
      <c r="L136" s="11">
        <v>0</v>
      </c>
    </row>
    <row r="137" spans="1:12" s="1" customFormat="1" ht="14.25" x14ac:dyDescent="0.2">
      <c r="A137" s="5"/>
      <c r="B137" s="111" t="s">
        <v>1052</v>
      </c>
      <c r="C137" s="29"/>
      <c r="D137" s="11"/>
      <c r="E137" s="9"/>
      <c r="F137" s="11"/>
      <c r="G137" s="9"/>
      <c r="H137" s="11"/>
      <c r="I137" s="70">
        <v>0</v>
      </c>
      <c r="J137" s="11">
        <f t="shared" si="53"/>
        <v>0</v>
      </c>
      <c r="K137" s="9">
        <f>'[3]ALL DEPARTMENTS'!$I$546</f>
        <v>80000</v>
      </c>
      <c r="L137" s="11"/>
    </row>
    <row r="138" spans="1:12" s="1" customFormat="1" ht="14.25" x14ac:dyDescent="0.2">
      <c r="A138" s="5"/>
      <c r="B138" s="111" t="s">
        <v>1050</v>
      </c>
      <c r="C138" s="29"/>
      <c r="D138" s="11"/>
      <c r="E138" s="9"/>
      <c r="F138" s="11"/>
      <c r="G138" s="9"/>
      <c r="H138" s="11"/>
      <c r="I138" s="70">
        <v>0</v>
      </c>
      <c r="J138" s="11">
        <f t="shared" si="53"/>
        <v>0</v>
      </c>
      <c r="K138" s="9">
        <f>'[3]ALL DEPARTMENTS'!$I$541</f>
        <v>500000</v>
      </c>
      <c r="L138" s="11"/>
    </row>
    <row r="139" spans="1:12" s="1" customFormat="1" ht="14.25" x14ac:dyDescent="0.2">
      <c r="A139" s="5"/>
      <c r="B139" s="111" t="s">
        <v>1051</v>
      </c>
      <c r="C139" s="29"/>
      <c r="D139" s="11"/>
      <c r="E139" s="9"/>
      <c r="F139" s="11"/>
      <c r="G139" s="9"/>
      <c r="H139" s="11"/>
      <c r="I139" s="70">
        <v>0</v>
      </c>
      <c r="J139" s="11">
        <f t="shared" si="53"/>
        <v>0</v>
      </c>
      <c r="K139" s="9">
        <v>0</v>
      </c>
      <c r="L139" s="11">
        <f>'[3]ALL DEPARTMENTS'!$J$542</f>
        <v>900000</v>
      </c>
    </row>
    <row r="140" spans="1:12" s="1" customFormat="1" ht="14.25" x14ac:dyDescent="0.2">
      <c r="A140" s="5"/>
      <c r="B140" s="111" t="s">
        <v>1054</v>
      </c>
      <c r="C140" s="29"/>
      <c r="D140" s="11"/>
      <c r="E140" s="9"/>
      <c r="F140" s="11"/>
      <c r="G140" s="9"/>
      <c r="H140" s="11"/>
      <c r="I140" s="70">
        <v>0</v>
      </c>
      <c r="J140" s="11">
        <f t="shared" si="53"/>
        <v>0</v>
      </c>
      <c r="K140" s="9">
        <f>'[3]ALL DEPARTMENTS'!$I$550</f>
        <v>300000</v>
      </c>
      <c r="L140" s="11">
        <f>'[3]ALL DEPARTMENTS'!$J$550</f>
        <v>200000</v>
      </c>
    </row>
    <row r="141" spans="1:12" s="1" customFormat="1" ht="14.25" x14ac:dyDescent="0.2">
      <c r="A141" s="5" t="s">
        <v>582</v>
      </c>
      <c r="B141" s="7" t="s">
        <v>462</v>
      </c>
      <c r="C141" s="29">
        <v>500000</v>
      </c>
      <c r="D141" s="11">
        <v>0</v>
      </c>
      <c r="E141" s="9">
        <v>0</v>
      </c>
      <c r="F141" s="11">
        <v>0</v>
      </c>
      <c r="G141" s="9">
        <f t="shared" si="52"/>
        <v>500000</v>
      </c>
      <c r="H141" s="11">
        <v>0</v>
      </c>
      <c r="I141" s="70">
        <v>-29685</v>
      </c>
      <c r="J141" s="11">
        <f t="shared" si="53"/>
        <v>470315</v>
      </c>
      <c r="K141" s="9">
        <v>0</v>
      </c>
      <c r="L141" s="11">
        <v>0</v>
      </c>
    </row>
    <row r="142" spans="1:12" s="1" customFormat="1" ht="14.25" x14ac:dyDescent="0.2">
      <c r="A142" s="5"/>
      <c r="B142" s="7"/>
      <c r="C142" s="29"/>
      <c r="D142" s="11"/>
      <c r="E142" s="9"/>
      <c r="F142" s="11"/>
      <c r="G142" s="9"/>
      <c r="H142" s="11"/>
      <c r="I142" s="70"/>
      <c r="J142" s="11"/>
      <c r="K142" s="9"/>
      <c r="L142" s="11"/>
    </row>
    <row r="143" spans="1:12" s="3" customFormat="1" x14ac:dyDescent="0.25">
      <c r="A143" s="18"/>
      <c r="B143" s="19" t="s">
        <v>471</v>
      </c>
      <c r="C143" s="28">
        <f>SUM(C135:C142)</f>
        <v>1010000</v>
      </c>
      <c r="D143" s="36">
        <f t="shared" ref="D143:G143" si="54">SUM(D135:D142)</f>
        <v>0</v>
      </c>
      <c r="E143" s="28">
        <f t="shared" si="54"/>
        <v>0</v>
      </c>
      <c r="F143" s="36">
        <f t="shared" si="54"/>
        <v>311200</v>
      </c>
      <c r="G143" s="28">
        <f t="shared" si="54"/>
        <v>698800</v>
      </c>
      <c r="H143" s="21">
        <v>30.81</v>
      </c>
      <c r="I143" s="71">
        <f t="shared" ref="I143:L143" si="55">SUM(I135:I142)</f>
        <v>170315</v>
      </c>
      <c r="J143" s="36">
        <f t="shared" si="55"/>
        <v>1180315</v>
      </c>
      <c r="K143" s="28">
        <f t="shared" si="55"/>
        <v>980000</v>
      </c>
      <c r="L143" s="36">
        <f t="shared" si="55"/>
        <v>1100000</v>
      </c>
    </row>
    <row r="144" spans="1:12" s="1" customFormat="1" ht="14.25" x14ac:dyDescent="0.2">
      <c r="A144" s="5"/>
      <c r="B144" s="7"/>
      <c r="C144" s="29"/>
      <c r="D144" s="11"/>
      <c r="E144" s="9"/>
      <c r="F144" s="11"/>
      <c r="G144" s="9"/>
      <c r="H144" s="11"/>
      <c r="I144" s="70"/>
      <c r="J144" s="11"/>
      <c r="K144" s="9"/>
      <c r="L144" s="11"/>
    </row>
    <row r="145" spans="1:12" s="3" customFormat="1" x14ac:dyDescent="0.25">
      <c r="A145" s="18"/>
      <c r="B145" s="19" t="s">
        <v>472</v>
      </c>
      <c r="C145" s="28">
        <f>C143</f>
        <v>1010000</v>
      </c>
      <c r="D145" s="36">
        <f t="shared" ref="D145:L145" si="56">D143</f>
        <v>0</v>
      </c>
      <c r="E145" s="28">
        <f t="shared" si="56"/>
        <v>0</v>
      </c>
      <c r="F145" s="36">
        <f t="shared" si="56"/>
        <v>311200</v>
      </c>
      <c r="G145" s="28">
        <f t="shared" si="56"/>
        <v>698800</v>
      </c>
      <c r="H145" s="21">
        <v>30.81</v>
      </c>
      <c r="I145" s="71">
        <f t="shared" si="56"/>
        <v>170315</v>
      </c>
      <c r="J145" s="36">
        <f t="shared" si="56"/>
        <v>1180315</v>
      </c>
      <c r="K145" s="28">
        <f t="shared" si="56"/>
        <v>980000</v>
      </c>
      <c r="L145" s="36">
        <f t="shared" si="56"/>
        <v>1100000</v>
      </c>
    </row>
    <row r="146" spans="1:12" s="3" customFormat="1" x14ac:dyDescent="0.25">
      <c r="A146" s="18"/>
      <c r="B146" s="19"/>
      <c r="C146" s="28"/>
      <c r="D146" s="21"/>
      <c r="E146" s="20"/>
      <c r="F146" s="21"/>
      <c r="G146" s="20"/>
      <c r="H146" s="21"/>
      <c r="I146" s="69"/>
      <c r="J146" s="21"/>
      <c r="K146" s="20"/>
      <c r="L146" s="21"/>
    </row>
    <row r="147" spans="1:12" s="3" customFormat="1" x14ac:dyDescent="0.25">
      <c r="A147" s="18"/>
      <c r="B147" s="19" t="s">
        <v>473</v>
      </c>
      <c r="C147" s="28"/>
      <c r="D147" s="21"/>
      <c r="E147" s="20"/>
      <c r="F147" s="21"/>
      <c r="G147" s="20"/>
      <c r="H147" s="21"/>
      <c r="I147" s="69"/>
      <c r="J147" s="21"/>
      <c r="K147" s="20"/>
      <c r="L147" s="21"/>
    </row>
    <row r="148" spans="1:12" s="3" customFormat="1" x14ac:dyDescent="0.25">
      <c r="A148" s="18"/>
      <c r="B148" s="19"/>
      <c r="C148" s="28"/>
      <c r="D148" s="21"/>
      <c r="E148" s="20"/>
      <c r="F148" s="21"/>
      <c r="G148" s="20"/>
      <c r="H148" s="21"/>
      <c r="I148" s="69"/>
      <c r="J148" s="21"/>
      <c r="K148" s="20"/>
      <c r="L148" s="21"/>
    </row>
    <row r="149" spans="1:12" s="258" customFormat="1" ht="14.25" x14ac:dyDescent="0.2">
      <c r="A149" s="253" t="s">
        <v>583</v>
      </c>
      <c r="B149" s="254" t="s">
        <v>491</v>
      </c>
      <c r="C149" s="255">
        <v>0</v>
      </c>
      <c r="D149" s="256">
        <v>0</v>
      </c>
      <c r="E149" s="257">
        <v>0</v>
      </c>
      <c r="F149" s="256">
        <v>0</v>
      </c>
      <c r="G149" s="257">
        <f t="shared" ref="G149" si="57">C149-E149-F149</f>
        <v>0</v>
      </c>
      <c r="H149" s="256">
        <v>0</v>
      </c>
      <c r="I149" s="32">
        <v>258376</v>
      </c>
      <c r="J149" s="256">
        <f t="shared" ref="J149" si="58">C149+I149</f>
        <v>258376</v>
      </c>
      <c r="K149" s="256">
        <v>0</v>
      </c>
      <c r="L149" s="256">
        <v>0</v>
      </c>
    </row>
    <row r="150" spans="1:12" s="1" customFormat="1" ht="14.25" x14ac:dyDescent="0.2">
      <c r="A150" s="5"/>
      <c r="B150" s="7"/>
      <c r="C150" s="29"/>
      <c r="D150" s="11"/>
      <c r="E150" s="32"/>
      <c r="F150" s="11"/>
      <c r="G150" s="9"/>
      <c r="H150" s="11"/>
      <c r="I150" s="70"/>
      <c r="J150" s="11"/>
      <c r="K150" s="9"/>
      <c r="L150" s="11"/>
    </row>
    <row r="151" spans="1:12" s="3" customFormat="1" ht="15.75" thickBot="1" x14ac:dyDescent="0.3">
      <c r="A151" s="158"/>
      <c r="B151" s="279" t="s">
        <v>494</v>
      </c>
      <c r="C151" s="280">
        <f>SUM(C149:C150)</f>
        <v>0</v>
      </c>
      <c r="D151" s="284">
        <f t="shared" ref="D151:G151" si="59">SUM(D149:D150)</f>
        <v>0</v>
      </c>
      <c r="E151" s="280">
        <f t="shared" si="59"/>
        <v>0</v>
      </c>
      <c r="F151" s="284">
        <f t="shared" si="59"/>
        <v>0</v>
      </c>
      <c r="G151" s="280">
        <f t="shared" si="59"/>
        <v>0</v>
      </c>
      <c r="H151" s="285">
        <v>0</v>
      </c>
      <c r="I151" s="286">
        <f t="shared" ref="I151:L151" si="60">SUM(I149:I150)</f>
        <v>258376</v>
      </c>
      <c r="J151" s="284">
        <f t="shared" si="60"/>
        <v>258376</v>
      </c>
      <c r="K151" s="280">
        <f t="shared" si="60"/>
        <v>0</v>
      </c>
      <c r="L151" s="284">
        <f t="shared" si="60"/>
        <v>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Normal="100" workbookViewId="0">
      <pane xSplit="2" ySplit="2" topLeftCell="F8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RowHeight="15" x14ac:dyDescent="0.25"/>
  <cols>
    <col min="1" max="1" width="18.42578125" bestFit="1" customWidth="1"/>
    <col min="2" max="2" width="56" bestFit="1" customWidth="1"/>
    <col min="3" max="3" width="17.85546875" customWidth="1"/>
    <col min="4" max="4" width="18.140625" customWidth="1"/>
    <col min="5" max="5" width="17.5703125" customWidth="1"/>
    <col min="6" max="6" width="15.85546875" customWidth="1"/>
    <col min="7" max="7" width="14.7109375" customWidth="1"/>
    <col min="8" max="8" width="8.7109375" customWidth="1"/>
    <col min="9" max="9" width="17.85546875" style="73" customWidth="1"/>
    <col min="10" max="10" width="16.140625" customWidth="1"/>
    <col min="11" max="11" width="15.28515625" customWidth="1"/>
    <col min="12" max="12" width="15.7109375" customWidth="1"/>
  </cols>
  <sheetData>
    <row r="1" spans="1:12" s="3" customFormat="1" ht="15.75" thickBot="1" x14ac:dyDescent="0.3">
      <c r="A1" s="311" t="s">
        <v>1011</v>
      </c>
      <c r="B1" s="311"/>
      <c r="C1" s="26"/>
      <c r="D1" s="4"/>
      <c r="E1" s="4"/>
      <c r="F1" s="4"/>
      <c r="G1" s="4"/>
      <c r="H1" s="4"/>
      <c r="I1" s="75"/>
      <c r="J1" s="4"/>
      <c r="K1" s="4"/>
      <c r="L1" s="4"/>
    </row>
    <row r="2" spans="1:12" s="3" customFormat="1" ht="45.75" thickBot="1" x14ac:dyDescent="0.3">
      <c r="A2" s="13" t="s">
        <v>0</v>
      </c>
      <c r="B2" s="14" t="s">
        <v>1</v>
      </c>
      <c r="C2" s="27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5" t="s">
        <v>7</v>
      </c>
      <c r="I2" s="68" t="s">
        <v>999</v>
      </c>
      <c r="J2" s="17" t="s">
        <v>1000</v>
      </c>
      <c r="K2" s="39" t="s">
        <v>1001</v>
      </c>
      <c r="L2" s="17" t="s">
        <v>1002</v>
      </c>
    </row>
    <row r="3" spans="1:12" s="3" customFormat="1" x14ac:dyDescent="0.25">
      <c r="A3" s="18"/>
      <c r="B3" s="19" t="s">
        <v>584</v>
      </c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/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 t="s">
        <v>9</v>
      </c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/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 t="s">
        <v>10</v>
      </c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/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 t="s">
        <v>11</v>
      </c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3" customFormat="1" x14ac:dyDescent="0.25">
      <c r="A10" s="18"/>
      <c r="B10" s="19"/>
      <c r="C10" s="28"/>
      <c r="D10" s="21"/>
      <c r="E10" s="20"/>
      <c r="F10" s="21"/>
      <c r="G10" s="20"/>
      <c r="H10" s="21"/>
      <c r="I10" s="69"/>
      <c r="J10" s="21"/>
      <c r="K10" s="20"/>
      <c r="L10" s="21"/>
    </row>
    <row r="11" spans="1:12" s="1" customFormat="1" ht="14.25" x14ac:dyDescent="0.2">
      <c r="A11" s="5" t="s">
        <v>585</v>
      </c>
      <c r="B11" s="7" t="s">
        <v>13</v>
      </c>
      <c r="C11" s="29">
        <v>148986</v>
      </c>
      <c r="D11" s="11">
        <v>0</v>
      </c>
      <c r="E11" s="9">
        <v>0</v>
      </c>
      <c r="F11" s="11">
        <v>0</v>
      </c>
      <c r="G11" s="9">
        <f>C11-E11-F11</f>
        <v>148986</v>
      </c>
      <c r="H11" s="11">
        <v>0</v>
      </c>
      <c r="I11" s="70">
        <v>0</v>
      </c>
      <c r="J11" s="11">
        <f t="shared" ref="J11:J23" si="0">C11+I11</f>
        <v>148986</v>
      </c>
      <c r="K11" s="9">
        <f>J11*6/100+J11</f>
        <v>157925.16</v>
      </c>
      <c r="L11" s="11">
        <f>K11*6/100+K11</f>
        <v>167400.66959999999</v>
      </c>
    </row>
    <row r="12" spans="1:12" s="1" customFormat="1" ht="14.25" x14ac:dyDescent="0.2">
      <c r="A12" s="5" t="s">
        <v>586</v>
      </c>
      <c r="B12" s="7" t="s">
        <v>15</v>
      </c>
      <c r="C12" s="29">
        <v>25057</v>
      </c>
      <c r="D12" s="11">
        <v>0</v>
      </c>
      <c r="E12" s="9">
        <v>0</v>
      </c>
      <c r="F12" s="11">
        <v>0</v>
      </c>
      <c r="G12" s="9">
        <f t="shared" ref="G12:G23" si="1">C12-E12-F12</f>
        <v>25057</v>
      </c>
      <c r="H12" s="11">
        <v>0</v>
      </c>
      <c r="I12" s="70">
        <v>-25057</v>
      </c>
      <c r="J12" s="11">
        <f t="shared" si="0"/>
        <v>0</v>
      </c>
      <c r="K12" s="9">
        <f t="shared" ref="K12:L23" si="2">J12*6/100+J12</f>
        <v>0</v>
      </c>
      <c r="L12" s="11">
        <f t="shared" si="2"/>
        <v>0</v>
      </c>
    </row>
    <row r="13" spans="1:12" s="1" customFormat="1" ht="14.25" x14ac:dyDescent="0.2">
      <c r="A13" s="5" t="s">
        <v>587</v>
      </c>
      <c r="B13" s="7" t="s">
        <v>17</v>
      </c>
      <c r="C13" s="29">
        <v>47077</v>
      </c>
      <c r="D13" s="11">
        <v>3923.1</v>
      </c>
      <c r="E13" s="9">
        <v>0</v>
      </c>
      <c r="F13" s="11">
        <v>23538.6</v>
      </c>
      <c r="G13" s="9">
        <f t="shared" si="1"/>
        <v>23538.400000000001</v>
      </c>
      <c r="H13" s="11">
        <v>50</v>
      </c>
      <c r="I13" s="70">
        <v>0</v>
      </c>
      <c r="J13" s="11">
        <f t="shared" si="0"/>
        <v>47077</v>
      </c>
      <c r="K13" s="9">
        <f t="shared" si="2"/>
        <v>49901.62</v>
      </c>
      <c r="L13" s="11">
        <f t="shared" si="2"/>
        <v>52895.717199999999</v>
      </c>
    </row>
    <row r="14" spans="1:12" s="1" customFormat="1" ht="14.25" x14ac:dyDescent="0.2">
      <c r="A14" s="5" t="s">
        <v>588</v>
      </c>
      <c r="B14" s="7" t="s">
        <v>19</v>
      </c>
      <c r="C14" s="29">
        <v>130000</v>
      </c>
      <c r="D14" s="11">
        <v>31263.56</v>
      </c>
      <c r="E14" s="9">
        <v>0</v>
      </c>
      <c r="F14" s="11">
        <v>83428.73</v>
      </c>
      <c r="G14" s="9">
        <f t="shared" si="1"/>
        <v>46571.270000000004</v>
      </c>
      <c r="H14" s="11">
        <v>64.17</v>
      </c>
      <c r="I14" s="70">
        <v>0</v>
      </c>
      <c r="J14" s="11">
        <f t="shared" si="0"/>
        <v>130000</v>
      </c>
      <c r="K14" s="9">
        <f t="shared" si="2"/>
        <v>137800</v>
      </c>
      <c r="L14" s="11">
        <f t="shared" si="2"/>
        <v>146068</v>
      </c>
    </row>
    <row r="15" spans="1:12" s="1" customFormat="1" ht="14.25" x14ac:dyDescent="0.2">
      <c r="A15" s="5" t="s">
        <v>589</v>
      </c>
      <c r="B15" s="7" t="s">
        <v>21</v>
      </c>
      <c r="C15" s="29">
        <v>0</v>
      </c>
      <c r="D15" s="11">
        <v>2932.16</v>
      </c>
      <c r="E15" s="9">
        <v>0</v>
      </c>
      <c r="F15" s="11">
        <v>2932.16</v>
      </c>
      <c r="G15" s="9">
        <f t="shared" si="1"/>
        <v>-2932.16</v>
      </c>
      <c r="H15" s="11">
        <v>0</v>
      </c>
      <c r="I15" s="70">
        <v>6000</v>
      </c>
      <c r="J15" s="11">
        <f t="shared" si="0"/>
        <v>6000</v>
      </c>
      <c r="K15" s="9">
        <f t="shared" si="2"/>
        <v>6360</v>
      </c>
      <c r="L15" s="11">
        <f t="shared" si="2"/>
        <v>6741.6</v>
      </c>
    </row>
    <row r="16" spans="1:12" s="1" customFormat="1" ht="14.25" x14ac:dyDescent="0.2">
      <c r="A16" s="5" t="s">
        <v>590</v>
      </c>
      <c r="B16" s="7" t="s">
        <v>22</v>
      </c>
      <c r="C16" s="29">
        <v>0</v>
      </c>
      <c r="D16" s="11">
        <v>0</v>
      </c>
      <c r="E16" s="9">
        <v>0</v>
      </c>
      <c r="F16" s="11">
        <v>0</v>
      </c>
      <c r="G16" s="9">
        <f t="shared" si="1"/>
        <v>0</v>
      </c>
      <c r="H16" s="11">
        <v>0</v>
      </c>
      <c r="I16" s="70">
        <v>0</v>
      </c>
      <c r="J16" s="11">
        <f t="shared" si="0"/>
        <v>0</v>
      </c>
      <c r="K16" s="9">
        <f t="shared" si="2"/>
        <v>0</v>
      </c>
      <c r="L16" s="11">
        <f t="shared" si="2"/>
        <v>0</v>
      </c>
    </row>
    <row r="17" spans="1:12" s="1" customFormat="1" ht="14.25" x14ac:dyDescent="0.2">
      <c r="A17" s="5" t="s">
        <v>591</v>
      </c>
      <c r="B17" s="7" t="s">
        <v>24</v>
      </c>
      <c r="C17" s="29">
        <v>85704</v>
      </c>
      <c r="D17" s="11">
        <v>5975.23</v>
      </c>
      <c r="E17" s="9">
        <v>0</v>
      </c>
      <c r="F17" s="11">
        <v>35851.379999999997</v>
      </c>
      <c r="G17" s="9">
        <f t="shared" si="1"/>
        <v>49852.62</v>
      </c>
      <c r="H17" s="11">
        <v>41.83</v>
      </c>
      <c r="I17" s="70">
        <v>0</v>
      </c>
      <c r="J17" s="11">
        <f t="shared" si="0"/>
        <v>85704</v>
      </c>
      <c r="K17" s="9">
        <f t="shared" si="2"/>
        <v>90846.24</v>
      </c>
      <c r="L17" s="11">
        <f t="shared" si="2"/>
        <v>96297.0144</v>
      </c>
    </row>
    <row r="18" spans="1:12" s="1" customFormat="1" ht="14.25" x14ac:dyDescent="0.2">
      <c r="A18" s="5" t="s">
        <v>592</v>
      </c>
      <c r="B18" s="7" t="s">
        <v>26</v>
      </c>
      <c r="C18" s="29">
        <v>0</v>
      </c>
      <c r="D18" s="11">
        <v>0</v>
      </c>
      <c r="E18" s="9">
        <v>0</v>
      </c>
      <c r="F18" s="11">
        <v>0</v>
      </c>
      <c r="G18" s="9">
        <f t="shared" si="1"/>
        <v>0</v>
      </c>
      <c r="H18" s="11">
        <v>0</v>
      </c>
      <c r="I18" s="70">
        <v>0</v>
      </c>
      <c r="J18" s="11">
        <f t="shared" si="0"/>
        <v>0</v>
      </c>
      <c r="K18" s="9">
        <f t="shared" si="2"/>
        <v>0</v>
      </c>
      <c r="L18" s="11">
        <f t="shared" si="2"/>
        <v>0</v>
      </c>
    </row>
    <row r="19" spans="1:12" s="1" customFormat="1" ht="14.25" x14ac:dyDescent="0.2">
      <c r="A19" s="5" t="s">
        <v>593</v>
      </c>
      <c r="B19" s="7" t="s">
        <v>28</v>
      </c>
      <c r="C19" s="29">
        <v>16362</v>
      </c>
      <c r="D19" s="11">
        <v>0</v>
      </c>
      <c r="E19" s="9">
        <v>0</v>
      </c>
      <c r="F19" s="11">
        <v>0</v>
      </c>
      <c r="G19" s="9">
        <f t="shared" si="1"/>
        <v>16362</v>
      </c>
      <c r="H19" s="11">
        <v>0</v>
      </c>
      <c r="I19" s="70">
        <v>-16362</v>
      </c>
      <c r="J19" s="11">
        <f t="shared" si="0"/>
        <v>0</v>
      </c>
      <c r="K19" s="9">
        <f t="shared" si="2"/>
        <v>0</v>
      </c>
      <c r="L19" s="11">
        <f t="shared" si="2"/>
        <v>0</v>
      </c>
    </row>
    <row r="20" spans="1:12" s="1" customFormat="1" ht="14.25" x14ac:dyDescent="0.2">
      <c r="A20" s="5" t="s">
        <v>594</v>
      </c>
      <c r="B20" s="7" t="s">
        <v>30</v>
      </c>
      <c r="C20" s="29">
        <v>52900</v>
      </c>
      <c r="D20" s="11">
        <v>0</v>
      </c>
      <c r="E20" s="9">
        <v>0</v>
      </c>
      <c r="F20" s="11">
        <v>0</v>
      </c>
      <c r="G20" s="9">
        <f t="shared" si="1"/>
        <v>52900</v>
      </c>
      <c r="H20" s="11">
        <v>0</v>
      </c>
      <c r="I20" s="70">
        <v>0</v>
      </c>
      <c r="J20" s="11">
        <f t="shared" si="0"/>
        <v>52900</v>
      </c>
      <c r="K20" s="9">
        <v>0</v>
      </c>
      <c r="L20" s="11">
        <f t="shared" si="2"/>
        <v>0</v>
      </c>
    </row>
    <row r="21" spans="1:12" s="1" customFormat="1" ht="14.25" x14ac:dyDescent="0.2">
      <c r="A21" s="5" t="s">
        <v>595</v>
      </c>
      <c r="B21" s="7" t="s">
        <v>32</v>
      </c>
      <c r="C21" s="29">
        <v>1787822</v>
      </c>
      <c r="D21" s="11">
        <v>151365.48000000001</v>
      </c>
      <c r="E21" s="9">
        <v>0</v>
      </c>
      <c r="F21" s="11">
        <v>864899.74</v>
      </c>
      <c r="G21" s="9">
        <f t="shared" si="1"/>
        <v>922922.26</v>
      </c>
      <c r="H21" s="11">
        <v>48.37</v>
      </c>
      <c r="I21" s="70">
        <v>0</v>
      </c>
      <c r="J21" s="11">
        <f t="shared" si="0"/>
        <v>1787822</v>
      </c>
      <c r="K21" s="9">
        <f t="shared" si="2"/>
        <v>1895091.32</v>
      </c>
      <c r="L21" s="11">
        <f t="shared" si="2"/>
        <v>2008796.7992</v>
      </c>
    </row>
    <row r="22" spans="1:12" s="1" customFormat="1" ht="14.25" x14ac:dyDescent="0.2">
      <c r="A22" s="5" t="s">
        <v>596</v>
      </c>
      <c r="B22" s="7" t="s">
        <v>34</v>
      </c>
      <c r="C22" s="29">
        <v>0</v>
      </c>
      <c r="D22" s="11">
        <v>0</v>
      </c>
      <c r="E22" s="9">
        <v>0</v>
      </c>
      <c r="F22" s="11">
        <v>0</v>
      </c>
      <c r="G22" s="9">
        <f t="shared" si="1"/>
        <v>0</v>
      </c>
      <c r="H22" s="11">
        <v>0</v>
      </c>
      <c r="I22" s="70">
        <v>0</v>
      </c>
      <c r="J22" s="11">
        <f t="shared" si="0"/>
        <v>0</v>
      </c>
      <c r="K22" s="9">
        <f t="shared" si="2"/>
        <v>0</v>
      </c>
      <c r="L22" s="11">
        <f t="shared" si="2"/>
        <v>0</v>
      </c>
    </row>
    <row r="23" spans="1:12" s="1" customFormat="1" ht="14.25" x14ac:dyDescent="0.2">
      <c r="A23" s="5" t="s">
        <v>597</v>
      </c>
      <c r="B23" s="7" t="s">
        <v>36</v>
      </c>
      <c r="C23" s="29">
        <v>392200</v>
      </c>
      <c r="D23" s="11">
        <v>33204.76</v>
      </c>
      <c r="E23" s="9">
        <v>0</v>
      </c>
      <c r="F23" s="11">
        <v>188405.42</v>
      </c>
      <c r="G23" s="9">
        <f t="shared" si="1"/>
        <v>203794.58</v>
      </c>
      <c r="H23" s="11">
        <v>48.03</v>
      </c>
      <c r="I23" s="70">
        <v>0</v>
      </c>
      <c r="J23" s="11">
        <f t="shared" si="0"/>
        <v>392200</v>
      </c>
      <c r="K23" s="9">
        <f t="shared" si="2"/>
        <v>415732</v>
      </c>
      <c r="L23" s="11">
        <f t="shared" si="2"/>
        <v>440675.92</v>
      </c>
    </row>
    <row r="24" spans="1:12" s="1" customFormat="1" ht="14.25" x14ac:dyDescent="0.2">
      <c r="A24" s="5"/>
      <c r="B24" s="7"/>
      <c r="C24" s="29"/>
      <c r="D24" s="11"/>
      <c r="E24" s="9"/>
      <c r="F24" s="11"/>
      <c r="G24" s="9"/>
      <c r="H24" s="11"/>
      <c r="I24" s="70"/>
      <c r="J24" s="11"/>
      <c r="K24" s="9"/>
      <c r="L24" s="11"/>
    </row>
    <row r="25" spans="1:12" s="3" customFormat="1" x14ac:dyDescent="0.25">
      <c r="A25" s="18"/>
      <c r="B25" s="19" t="s">
        <v>49</v>
      </c>
      <c r="C25" s="28">
        <f>SUM(C11:C24)</f>
        <v>2686108</v>
      </c>
      <c r="D25" s="36">
        <f t="shared" ref="D25:G25" si="3">SUM(D11:D24)</f>
        <v>228664.29000000004</v>
      </c>
      <c r="E25" s="28">
        <f t="shared" si="3"/>
        <v>0</v>
      </c>
      <c r="F25" s="36">
        <f t="shared" si="3"/>
        <v>1199056.03</v>
      </c>
      <c r="G25" s="28">
        <f t="shared" si="3"/>
        <v>1487051.9700000002</v>
      </c>
      <c r="H25" s="21">
        <v>44.63</v>
      </c>
      <c r="I25" s="71">
        <f t="shared" ref="I25:L25" si="4">SUM(I11:I24)</f>
        <v>-35419</v>
      </c>
      <c r="J25" s="36">
        <f t="shared" si="4"/>
        <v>2650689</v>
      </c>
      <c r="K25" s="28">
        <f t="shared" si="4"/>
        <v>2753656.34</v>
      </c>
      <c r="L25" s="36">
        <f t="shared" si="4"/>
        <v>2918875.7204</v>
      </c>
    </row>
    <row r="26" spans="1:12" s="3" customFormat="1" x14ac:dyDescent="0.25">
      <c r="A26" s="18"/>
      <c r="B26" s="19"/>
      <c r="C26" s="28"/>
      <c r="D26" s="21"/>
      <c r="E26" s="20"/>
      <c r="F26" s="21"/>
      <c r="G26" s="20"/>
      <c r="H26" s="21"/>
      <c r="I26" s="69"/>
      <c r="J26" s="21"/>
      <c r="K26" s="20"/>
      <c r="L26" s="21"/>
    </row>
    <row r="27" spans="1:12" s="3" customFormat="1" x14ac:dyDescent="0.25">
      <c r="A27" s="18"/>
      <c r="B27" s="19" t="s">
        <v>50</v>
      </c>
      <c r="C27" s="28"/>
      <c r="D27" s="21"/>
      <c r="E27" s="20"/>
      <c r="F27" s="21"/>
      <c r="G27" s="20"/>
      <c r="H27" s="21"/>
      <c r="I27" s="69"/>
      <c r="J27" s="21"/>
      <c r="K27" s="20"/>
      <c r="L27" s="21"/>
    </row>
    <row r="28" spans="1:12" s="1" customFormat="1" ht="14.25" x14ac:dyDescent="0.2">
      <c r="A28" s="5"/>
      <c r="B28" s="7"/>
      <c r="C28" s="29"/>
      <c r="D28" s="11"/>
      <c r="E28" s="9"/>
      <c r="F28" s="11"/>
      <c r="G28" s="9"/>
      <c r="H28" s="11"/>
      <c r="I28" s="70"/>
      <c r="J28" s="11"/>
      <c r="K28" s="9"/>
      <c r="L28" s="11"/>
    </row>
    <row r="29" spans="1:12" s="1" customFormat="1" ht="14.25" x14ac:dyDescent="0.2">
      <c r="A29" s="5" t="s">
        <v>598</v>
      </c>
      <c r="B29" s="7" t="s">
        <v>53</v>
      </c>
      <c r="C29" s="29">
        <v>457</v>
      </c>
      <c r="D29" s="11">
        <v>36.25</v>
      </c>
      <c r="E29" s="9">
        <v>0</v>
      </c>
      <c r="F29" s="11">
        <v>203</v>
      </c>
      <c r="G29" s="9">
        <f t="shared" ref="G29:G33" si="5">C29-E29-F29</f>
        <v>254</v>
      </c>
      <c r="H29" s="11">
        <v>44.42</v>
      </c>
      <c r="I29" s="70">
        <v>0</v>
      </c>
      <c r="J29" s="11">
        <f t="shared" ref="J29:J33" si="6">C29+I29</f>
        <v>457</v>
      </c>
      <c r="K29" s="9">
        <f t="shared" ref="K29:L29" si="7">J29*6/100+J29</f>
        <v>484.42</v>
      </c>
      <c r="L29" s="11">
        <f t="shared" si="7"/>
        <v>513.48519999999996</v>
      </c>
    </row>
    <row r="30" spans="1:12" s="1" customFormat="1" ht="14.25" x14ac:dyDescent="0.2">
      <c r="A30" s="5" t="s">
        <v>599</v>
      </c>
      <c r="B30" s="7" t="s">
        <v>55</v>
      </c>
      <c r="C30" s="29">
        <v>9233</v>
      </c>
      <c r="D30" s="11">
        <v>803.6</v>
      </c>
      <c r="E30" s="9">
        <v>0</v>
      </c>
      <c r="F30" s="11">
        <v>4450.42</v>
      </c>
      <c r="G30" s="9">
        <f t="shared" si="5"/>
        <v>4782.58</v>
      </c>
      <c r="H30" s="11">
        <v>48.2</v>
      </c>
      <c r="I30" s="70">
        <v>0</v>
      </c>
      <c r="J30" s="11">
        <f t="shared" si="6"/>
        <v>9233</v>
      </c>
      <c r="K30" s="9">
        <f t="shared" ref="K30:L30" si="8">J30*6/100+J30</f>
        <v>9786.98</v>
      </c>
      <c r="L30" s="11">
        <f t="shared" si="8"/>
        <v>10374.1988</v>
      </c>
    </row>
    <row r="31" spans="1:12" s="1" customFormat="1" ht="14.25" x14ac:dyDescent="0.2">
      <c r="A31" s="5" t="s">
        <v>600</v>
      </c>
      <c r="B31" s="7" t="s">
        <v>57</v>
      </c>
      <c r="C31" s="29">
        <v>167977</v>
      </c>
      <c r="D31" s="11">
        <v>7580.4</v>
      </c>
      <c r="E31" s="9">
        <v>0</v>
      </c>
      <c r="F31" s="11">
        <v>41628.6</v>
      </c>
      <c r="G31" s="9">
        <f t="shared" si="5"/>
        <v>126348.4</v>
      </c>
      <c r="H31" s="11">
        <v>24.78</v>
      </c>
      <c r="I31" s="70">
        <v>0</v>
      </c>
      <c r="J31" s="11">
        <f t="shared" si="6"/>
        <v>167977</v>
      </c>
      <c r="K31" s="9">
        <f t="shared" ref="K31:L31" si="9">J31*6/100+J31</f>
        <v>178055.62</v>
      </c>
      <c r="L31" s="11">
        <f t="shared" si="9"/>
        <v>188738.9572</v>
      </c>
    </row>
    <row r="32" spans="1:12" s="1" customFormat="1" ht="14.25" x14ac:dyDescent="0.2">
      <c r="A32" s="5" t="s">
        <v>601</v>
      </c>
      <c r="B32" s="7" t="s">
        <v>59</v>
      </c>
      <c r="C32" s="29">
        <v>377481</v>
      </c>
      <c r="D32" s="11">
        <v>29153.71</v>
      </c>
      <c r="E32" s="9">
        <v>0</v>
      </c>
      <c r="F32" s="11">
        <v>167129.5</v>
      </c>
      <c r="G32" s="9">
        <f t="shared" si="5"/>
        <v>210351.5</v>
      </c>
      <c r="H32" s="11">
        <v>44.27</v>
      </c>
      <c r="I32" s="70">
        <v>0</v>
      </c>
      <c r="J32" s="11">
        <f t="shared" si="6"/>
        <v>377481</v>
      </c>
      <c r="K32" s="9">
        <f t="shared" ref="K32:L32" si="10">J32*6/100+J32</f>
        <v>400129.86</v>
      </c>
      <c r="L32" s="11">
        <f t="shared" si="10"/>
        <v>424137.65159999998</v>
      </c>
    </row>
    <row r="33" spans="1:12" s="1" customFormat="1" ht="14.25" x14ac:dyDescent="0.2">
      <c r="A33" s="5" t="s">
        <v>602</v>
      </c>
      <c r="B33" s="7" t="s">
        <v>62</v>
      </c>
      <c r="C33" s="29">
        <v>35756</v>
      </c>
      <c r="D33" s="11">
        <v>2093.75</v>
      </c>
      <c r="E33" s="9">
        <v>0</v>
      </c>
      <c r="F33" s="11">
        <v>11192.06</v>
      </c>
      <c r="G33" s="9">
        <f t="shared" si="5"/>
        <v>24563.940000000002</v>
      </c>
      <c r="H33" s="11">
        <v>31.3</v>
      </c>
      <c r="I33" s="70">
        <v>0</v>
      </c>
      <c r="J33" s="11">
        <f t="shared" si="6"/>
        <v>35756</v>
      </c>
      <c r="K33" s="9">
        <f t="shared" ref="K33:L33" si="11">J33*6/100+J33</f>
        <v>37901.360000000001</v>
      </c>
      <c r="L33" s="11">
        <f t="shared" si="11"/>
        <v>40175.441599999998</v>
      </c>
    </row>
    <row r="34" spans="1:12" s="1" customFormat="1" ht="14.25" x14ac:dyDescent="0.2">
      <c r="A34" s="5"/>
      <c r="B34" s="7"/>
      <c r="C34" s="29"/>
      <c r="D34" s="11"/>
      <c r="E34" s="9"/>
      <c r="F34" s="11"/>
      <c r="G34" s="9"/>
      <c r="H34" s="11"/>
      <c r="I34" s="70"/>
      <c r="J34" s="11"/>
      <c r="K34" s="9"/>
      <c r="L34" s="11"/>
    </row>
    <row r="35" spans="1:12" s="3" customFormat="1" x14ac:dyDescent="0.25">
      <c r="A35" s="18"/>
      <c r="B35" s="19" t="s">
        <v>63</v>
      </c>
      <c r="C35" s="28">
        <f>SUM(C29:C34)</f>
        <v>590904</v>
      </c>
      <c r="D35" s="36">
        <f t="shared" ref="D35:G35" si="12">SUM(D29:D34)</f>
        <v>39667.71</v>
      </c>
      <c r="E35" s="28">
        <f t="shared" si="12"/>
        <v>0</v>
      </c>
      <c r="F35" s="36">
        <f t="shared" si="12"/>
        <v>224603.58</v>
      </c>
      <c r="G35" s="28">
        <f t="shared" si="12"/>
        <v>366300.42</v>
      </c>
      <c r="H35" s="21">
        <v>38.01</v>
      </c>
      <c r="I35" s="71">
        <f t="shared" ref="I35:L35" si="13">SUM(I29:I34)</f>
        <v>0</v>
      </c>
      <c r="J35" s="36">
        <f t="shared" si="13"/>
        <v>590904</v>
      </c>
      <c r="K35" s="28">
        <f t="shared" si="13"/>
        <v>626358.24</v>
      </c>
      <c r="L35" s="36">
        <f t="shared" si="13"/>
        <v>663939.73439999996</v>
      </c>
    </row>
    <row r="36" spans="1:12" s="3" customFormat="1" x14ac:dyDescent="0.25">
      <c r="A36" s="18"/>
      <c r="B36" s="19"/>
      <c r="C36" s="28"/>
      <c r="D36" s="21"/>
      <c r="E36" s="20"/>
      <c r="F36" s="21"/>
      <c r="G36" s="20"/>
      <c r="H36" s="21"/>
      <c r="I36" s="69"/>
      <c r="J36" s="21"/>
      <c r="K36" s="20"/>
      <c r="L36" s="21"/>
    </row>
    <row r="37" spans="1:12" s="3" customFormat="1" x14ac:dyDescent="0.25">
      <c r="A37" s="18"/>
      <c r="B37" s="19" t="s">
        <v>73</v>
      </c>
      <c r="C37" s="28">
        <f>C25+C35</f>
        <v>3277012</v>
      </c>
      <c r="D37" s="36">
        <f t="shared" ref="D37:L37" si="14">D25+D35</f>
        <v>268332.00000000006</v>
      </c>
      <c r="E37" s="28">
        <f t="shared" si="14"/>
        <v>0</v>
      </c>
      <c r="F37" s="36">
        <f t="shared" si="14"/>
        <v>1423659.61</v>
      </c>
      <c r="G37" s="28">
        <f t="shared" si="14"/>
        <v>1853352.3900000001</v>
      </c>
      <c r="H37" s="21">
        <v>43.44</v>
      </c>
      <c r="I37" s="71">
        <f t="shared" si="14"/>
        <v>-35419</v>
      </c>
      <c r="J37" s="36">
        <f t="shared" si="14"/>
        <v>3241593</v>
      </c>
      <c r="K37" s="28">
        <f t="shared" si="14"/>
        <v>3380014.58</v>
      </c>
      <c r="L37" s="36">
        <f t="shared" si="14"/>
        <v>3582815.4547999999</v>
      </c>
    </row>
    <row r="38" spans="1:12" s="3" customFormat="1" x14ac:dyDescent="0.25">
      <c r="A38" s="18"/>
      <c r="B38" s="19"/>
      <c r="C38" s="28"/>
      <c r="D38" s="21"/>
      <c r="E38" s="20"/>
      <c r="F38" s="21"/>
      <c r="G38" s="20"/>
      <c r="H38" s="21"/>
      <c r="I38" s="69"/>
      <c r="J38" s="21"/>
      <c r="K38" s="20"/>
      <c r="L38" s="21"/>
    </row>
    <row r="39" spans="1:12" s="3" customFormat="1" x14ac:dyDescent="0.25">
      <c r="A39" s="18"/>
      <c r="B39" s="19" t="s">
        <v>74</v>
      </c>
      <c r="C39" s="28"/>
      <c r="D39" s="21"/>
      <c r="E39" s="20"/>
      <c r="F39" s="21"/>
      <c r="G39" s="20"/>
      <c r="H39" s="21"/>
      <c r="I39" s="69"/>
      <c r="J39" s="21"/>
      <c r="K39" s="20"/>
      <c r="L39" s="21"/>
    </row>
    <row r="40" spans="1:12" s="3" customFormat="1" x14ac:dyDescent="0.25">
      <c r="A40" s="18"/>
      <c r="B40" s="19"/>
      <c r="C40" s="28"/>
      <c r="D40" s="21"/>
      <c r="E40" s="20"/>
      <c r="F40" s="21"/>
      <c r="G40" s="20"/>
      <c r="H40" s="21"/>
      <c r="I40" s="69"/>
      <c r="J40" s="21"/>
      <c r="K40" s="20"/>
      <c r="L40" s="21"/>
    </row>
    <row r="41" spans="1:12" s="3" customFormat="1" x14ac:dyDescent="0.25">
      <c r="A41" s="18"/>
      <c r="B41" s="19" t="s">
        <v>75</v>
      </c>
      <c r="C41" s="28"/>
      <c r="D41" s="21"/>
      <c r="E41" s="20"/>
      <c r="F41" s="21"/>
      <c r="G41" s="20"/>
      <c r="H41" s="21"/>
      <c r="I41" s="69"/>
      <c r="J41" s="21"/>
      <c r="K41" s="20"/>
      <c r="L41" s="21"/>
    </row>
    <row r="42" spans="1:12" s="3" customFormat="1" x14ac:dyDescent="0.25">
      <c r="A42" s="18"/>
      <c r="B42" s="19"/>
      <c r="C42" s="28"/>
      <c r="D42" s="21"/>
      <c r="E42" s="20"/>
      <c r="F42" s="21"/>
      <c r="G42" s="20"/>
      <c r="H42" s="21"/>
      <c r="I42" s="69"/>
      <c r="J42" s="21"/>
      <c r="K42" s="20"/>
      <c r="L42" s="21"/>
    </row>
    <row r="43" spans="1:12" s="1" customFormat="1" ht="14.25" x14ac:dyDescent="0.2">
      <c r="A43" s="5" t="s">
        <v>603</v>
      </c>
      <c r="B43" s="7" t="s">
        <v>77</v>
      </c>
      <c r="C43" s="29">
        <v>30000</v>
      </c>
      <c r="D43" s="11">
        <v>0</v>
      </c>
      <c r="E43" s="9">
        <v>8154.47</v>
      </c>
      <c r="F43" s="11">
        <v>17941.990000000002</v>
      </c>
      <c r="G43" s="9">
        <f t="shared" ref="G43:G60" si="15">C43-E43-F43</f>
        <v>3903.5399999999972</v>
      </c>
      <c r="H43" s="11">
        <v>59.8</v>
      </c>
      <c r="I43" s="70"/>
      <c r="J43" s="11">
        <f t="shared" ref="J43:J60" si="16">C43+I43</f>
        <v>30000</v>
      </c>
      <c r="K43" s="9">
        <f t="shared" ref="K43:L43" si="17">J43*6/100+J43</f>
        <v>31800</v>
      </c>
      <c r="L43" s="11">
        <f t="shared" si="17"/>
        <v>33708</v>
      </c>
    </row>
    <row r="44" spans="1:12" s="1" customFormat="1" ht="14.25" x14ac:dyDescent="0.2">
      <c r="A44" s="5" t="s">
        <v>604</v>
      </c>
      <c r="B44" s="7" t="s">
        <v>91</v>
      </c>
      <c r="C44" s="29">
        <v>400000</v>
      </c>
      <c r="D44" s="11">
        <v>0</v>
      </c>
      <c r="E44" s="9">
        <v>0</v>
      </c>
      <c r="F44" s="11">
        <v>0</v>
      </c>
      <c r="G44" s="9">
        <f t="shared" si="15"/>
        <v>400000</v>
      </c>
      <c r="H44" s="11">
        <v>0</v>
      </c>
      <c r="I44" s="70"/>
      <c r="J44" s="11">
        <f t="shared" si="16"/>
        <v>400000</v>
      </c>
      <c r="K44" s="9">
        <v>0</v>
      </c>
      <c r="L44" s="11">
        <v>0</v>
      </c>
    </row>
    <row r="45" spans="1:12" s="1" customFormat="1" ht="14.25" x14ac:dyDescent="0.2">
      <c r="A45" s="5" t="s">
        <v>605</v>
      </c>
      <c r="B45" s="7" t="s">
        <v>101</v>
      </c>
      <c r="C45" s="29">
        <v>150000</v>
      </c>
      <c r="D45" s="11">
        <v>0</v>
      </c>
      <c r="E45" s="9">
        <v>0</v>
      </c>
      <c r="F45" s="11">
        <v>0</v>
      </c>
      <c r="G45" s="9">
        <f t="shared" si="15"/>
        <v>150000</v>
      </c>
      <c r="H45" s="11">
        <v>0</v>
      </c>
      <c r="I45" s="70"/>
      <c r="J45" s="11">
        <f t="shared" si="16"/>
        <v>150000</v>
      </c>
      <c r="K45" s="9">
        <v>0</v>
      </c>
      <c r="L45" s="11">
        <v>0</v>
      </c>
    </row>
    <row r="46" spans="1:12" s="1" customFormat="1" ht="14.25" x14ac:dyDescent="0.2">
      <c r="A46" s="5" t="s">
        <v>606</v>
      </c>
      <c r="B46" s="7" t="s">
        <v>129</v>
      </c>
      <c r="C46" s="29">
        <v>0</v>
      </c>
      <c r="D46" s="11">
        <v>0</v>
      </c>
      <c r="E46" s="9">
        <v>0</v>
      </c>
      <c r="F46" s="11">
        <v>0</v>
      </c>
      <c r="G46" s="9">
        <f t="shared" si="15"/>
        <v>0</v>
      </c>
      <c r="H46" s="11">
        <v>0</v>
      </c>
      <c r="I46" s="70"/>
      <c r="J46" s="11">
        <f t="shared" si="16"/>
        <v>0</v>
      </c>
      <c r="K46" s="9">
        <v>0</v>
      </c>
      <c r="L46" s="11">
        <v>0</v>
      </c>
    </row>
    <row r="47" spans="1:12" s="1" customFormat="1" ht="14.25" x14ac:dyDescent="0.2">
      <c r="A47" s="5" t="s">
        <v>607</v>
      </c>
      <c r="B47" s="7" t="s">
        <v>140</v>
      </c>
      <c r="C47" s="29">
        <v>0</v>
      </c>
      <c r="D47" s="11">
        <v>0</v>
      </c>
      <c r="E47" s="9">
        <v>0</v>
      </c>
      <c r="F47" s="11">
        <v>0</v>
      </c>
      <c r="G47" s="9">
        <f t="shared" si="15"/>
        <v>0</v>
      </c>
      <c r="H47" s="11">
        <v>0</v>
      </c>
      <c r="I47" s="70"/>
      <c r="J47" s="11">
        <f t="shared" si="16"/>
        <v>0</v>
      </c>
      <c r="K47" s="9">
        <v>0</v>
      </c>
      <c r="L47" s="11">
        <v>0</v>
      </c>
    </row>
    <row r="48" spans="1:12" s="1" customFormat="1" ht="14.25" x14ac:dyDescent="0.2">
      <c r="A48" s="5" t="s">
        <v>608</v>
      </c>
      <c r="B48" s="7" t="s">
        <v>142</v>
      </c>
      <c r="C48" s="29">
        <v>100000</v>
      </c>
      <c r="D48" s="11">
        <v>0</v>
      </c>
      <c r="E48" s="9">
        <v>74500</v>
      </c>
      <c r="F48" s="11">
        <v>0</v>
      </c>
      <c r="G48" s="9">
        <f t="shared" si="15"/>
        <v>25500</v>
      </c>
      <c r="H48" s="11">
        <v>0</v>
      </c>
      <c r="I48" s="70">
        <v>-100000</v>
      </c>
      <c r="J48" s="11">
        <f t="shared" si="16"/>
        <v>0</v>
      </c>
      <c r="K48" s="9"/>
      <c r="L48" s="11"/>
    </row>
    <row r="49" spans="1:12" s="1" customFormat="1" ht="14.25" x14ac:dyDescent="0.2">
      <c r="A49" s="5" t="s">
        <v>609</v>
      </c>
      <c r="B49" s="7" t="s">
        <v>146</v>
      </c>
      <c r="C49" s="29">
        <v>900000</v>
      </c>
      <c r="D49" s="11">
        <v>0</v>
      </c>
      <c r="E49" s="9">
        <v>0</v>
      </c>
      <c r="F49" s="11">
        <v>247043.77</v>
      </c>
      <c r="G49" s="9">
        <f t="shared" si="15"/>
        <v>652956.23</v>
      </c>
      <c r="H49" s="11">
        <v>27.44</v>
      </c>
      <c r="I49" s="70"/>
      <c r="J49" s="11">
        <f t="shared" si="16"/>
        <v>900000</v>
      </c>
      <c r="K49" s="9">
        <f t="shared" ref="K49:L49" si="18">J49*6/100+J49</f>
        <v>954000</v>
      </c>
      <c r="L49" s="11">
        <f t="shared" si="18"/>
        <v>1011240</v>
      </c>
    </row>
    <row r="50" spans="1:12" s="1" customFormat="1" ht="14.25" x14ac:dyDescent="0.2">
      <c r="A50" s="5" t="s">
        <v>610</v>
      </c>
      <c r="B50" s="7" t="s">
        <v>147</v>
      </c>
      <c r="C50" s="29">
        <v>0</v>
      </c>
      <c r="D50" s="11">
        <v>0</v>
      </c>
      <c r="E50" s="9">
        <v>0</v>
      </c>
      <c r="F50" s="11">
        <v>0</v>
      </c>
      <c r="G50" s="9">
        <f t="shared" si="15"/>
        <v>0</v>
      </c>
      <c r="H50" s="11">
        <v>0</v>
      </c>
      <c r="I50" s="70"/>
      <c r="J50" s="11">
        <f t="shared" si="16"/>
        <v>0</v>
      </c>
      <c r="K50" s="9">
        <v>0</v>
      </c>
      <c r="L50" s="11">
        <v>0</v>
      </c>
    </row>
    <row r="51" spans="1:12" s="1" customFormat="1" ht="14.25" x14ac:dyDescent="0.2">
      <c r="A51" s="5" t="s">
        <v>611</v>
      </c>
      <c r="B51" s="7" t="s">
        <v>153</v>
      </c>
      <c r="C51" s="29">
        <v>500000</v>
      </c>
      <c r="D51" s="11">
        <v>0</v>
      </c>
      <c r="E51" s="9">
        <v>0</v>
      </c>
      <c r="F51" s="11">
        <v>0</v>
      </c>
      <c r="G51" s="9">
        <f t="shared" si="15"/>
        <v>500000</v>
      </c>
      <c r="H51" s="11">
        <v>0</v>
      </c>
      <c r="I51" s="70"/>
      <c r="J51" s="11">
        <f t="shared" si="16"/>
        <v>500000</v>
      </c>
      <c r="K51" s="9">
        <v>0</v>
      </c>
      <c r="L51" s="11">
        <v>0</v>
      </c>
    </row>
    <row r="52" spans="1:12" s="1" customFormat="1" ht="14.25" x14ac:dyDescent="0.2">
      <c r="A52" s="5" t="s">
        <v>612</v>
      </c>
      <c r="B52" s="7" t="s">
        <v>155</v>
      </c>
      <c r="C52" s="29">
        <v>350000</v>
      </c>
      <c r="D52" s="11">
        <v>26400</v>
      </c>
      <c r="E52" s="9">
        <v>0</v>
      </c>
      <c r="F52" s="11">
        <v>158400</v>
      </c>
      <c r="G52" s="9">
        <f t="shared" si="15"/>
        <v>191600</v>
      </c>
      <c r="H52" s="11">
        <v>45.25</v>
      </c>
      <c r="I52" s="70">
        <v>86550</v>
      </c>
      <c r="J52" s="11">
        <f t="shared" si="16"/>
        <v>436550</v>
      </c>
      <c r="K52" s="9">
        <v>0</v>
      </c>
      <c r="L52" s="11"/>
    </row>
    <row r="53" spans="1:12" s="1" customFormat="1" ht="14.25" x14ac:dyDescent="0.2">
      <c r="A53" s="5" t="s">
        <v>613</v>
      </c>
      <c r="B53" s="7" t="s">
        <v>157</v>
      </c>
      <c r="C53" s="29">
        <v>350000</v>
      </c>
      <c r="D53" s="11">
        <v>0</v>
      </c>
      <c r="E53" s="9">
        <v>0</v>
      </c>
      <c r="F53" s="11">
        <v>0</v>
      </c>
      <c r="G53" s="9">
        <f t="shared" si="15"/>
        <v>350000</v>
      </c>
      <c r="H53" s="11">
        <v>0</v>
      </c>
      <c r="I53" s="70"/>
      <c r="J53" s="11">
        <f t="shared" si="16"/>
        <v>350000</v>
      </c>
      <c r="K53" s="9">
        <v>0</v>
      </c>
      <c r="L53" s="11">
        <v>0</v>
      </c>
    </row>
    <row r="54" spans="1:12" s="1" customFormat="1" ht="14.25" x14ac:dyDescent="0.2">
      <c r="A54" s="5" t="s">
        <v>614</v>
      </c>
      <c r="B54" s="7" t="s">
        <v>162</v>
      </c>
      <c r="C54" s="29">
        <v>0</v>
      </c>
      <c r="D54" s="11">
        <v>0</v>
      </c>
      <c r="E54" s="9">
        <v>0</v>
      </c>
      <c r="F54" s="11">
        <v>0</v>
      </c>
      <c r="G54" s="9">
        <f t="shared" si="15"/>
        <v>0</v>
      </c>
      <c r="H54" s="11">
        <v>0</v>
      </c>
      <c r="I54" s="70"/>
      <c r="J54" s="11">
        <f t="shared" si="16"/>
        <v>0</v>
      </c>
      <c r="K54" s="9">
        <v>0</v>
      </c>
      <c r="L54" s="11">
        <v>0</v>
      </c>
    </row>
    <row r="55" spans="1:12" s="1" customFormat="1" ht="14.25" x14ac:dyDescent="0.2">
      <c r="A55" s="5" t="s">
        <v>615</v>
      </c>
      <c r="B55" s="7" t="s">
        <v>164</v>
      </c>
      <c r="C55" s="29">
        <v>40000</v>
      </c>
      <c r="D55" s="11">
        <v>500</v>
      </c>
      <c r="E55" s="9">
        <v>0</v>
      </c>
      <c r="F55" s="11">
        <v>3370</v>
      </c>
      <c r="G55" s="9">
        <f t="shared" si="15"/>
        <v>36630</v>
      </c>
      <c r="H55" s="11">
        <v>8.42</v>
      </c>
      <c r="I55" s="70"/>
      <c r="J55" s="11">
        <f t="shared" si="16"/>
        <v>40000</v>
      </c>
      <c r="K55" s="9">
        <f t="shared" ref="K55:L55" si="19">J55*6/100+J55</f>
        <v>42400</v>
      </c>
      <c r="L55" s="11">
        <f t="shared" si="19"/>
        <v>44944</v>
      </c>
    </row>
    <row r="56" spans="1:12" s="1" customFormat="1" ht="14.25" x14ac:dyDescent="0.2">
      <c r="A56" s="5" t="s">
        <v>616</v>
      </c>
      <c r="B56" s="7" t="s">
        <v>217</v>
      </c>
      <c r="C56" s="29">
        <v>2000</v>
      </c>
      <c r="D56" s="11">
        <v>0</v>
      </c>
      <c r="E56" s="9">
        <v>0</v>
      </c>
      <c r="F56" s="11">
        <v>466.6</v>
      </c>
      <c r="G56" s="9">
        <f t="shared" si="15"/>
        <v>1533.4</v>
      </c>
      <c r="H56" s="11">
        <v>23.33</v>
      </c>
      <c r="I56" s="70"/>
      <c r="J56" s="11">
        <f t="shared" si="16"/>
        <v>2000</v>
      </c>
      <c r="K56" s="9">
        <f t="shared" ref="K56:L56" si="20">J56*6/100+J56</f>
        <v>2120</v>
      </c>
      <c r="L56" s="11">
        <f t="shared" si="20"/>
        <v>2247.1999999999998</v>
      </c>
    </row>
    <row r="57" spans="1:12" s="1" customFormat="1" ht="14.25" x14ac:dyDescent="0.2">
      <c r="A57" s="5" t="s">
        <v>617</v>
      </c>
      <c r="B57" s="7" t="s">
        <v>226</v>
      </c>
      <c r="C57" s="29">
        <v>120000</v>
      </c>
      <c r="D57" s="11">
        <v>66999.399999999994</v>
      </c>
      <c r="E57" s="9">
        <v>0</v>
      </c>
      <c r="F57" s="11">
        <v>81699.399999999994</v>
      </c>
      <c r="G57" s="9">
        <f t="shared" si="15"/>
        <v>38300.600000000006</v>
      </c>
      <c r="H57" s="11">
        <v>68.08</v>
      </c>
      <c r="I57" s="70"/>
      <c r="J57" s="11">
        <f t="shared" si="16"/>
        <v>120000</v>
      </c>
      <c r="K57" s="9">
        <v>0</v>
      </c>
      <c r="L57" s="11">
        <v>0</v>
      </c>
    </row>
    <row r="58" spans="1:12" s="1" customFormat="1" ht="14.25" x14ac:dyDescent="0.2">
      <c r="A58" s="5" t="s">
        <v>618</v>
      </c>
      <c r="B58" s="7" t="s">
        <v>258</v>
      </c>
      <c r="C58" s="29">
        <v>200000</v>
      </c>
      <c r="D58" s="11">
        <v>0</v>
      </c>
      <c r="E58" s="9">
        <v>179000</v>
      </c>
      <c r="F58" s="11">
        <v>0</v>
      </c>
      <c r="G58" s="9">
        <f t="shared" si="15"/>
        <v>21000</v>
      </c>
      <c r="H58" s="11">
        <v>0</v>
      </c>
      <c r="I58" s="70"/>
      <c r="J58" s="11">
        <f t="shared" si="16"/>
        <v>200000</v>
      </c>
      <c r="K58" s="9">
        <v>0</v>
      </c>
      <c r="L58" s="11">
        <v>0</v>
      </c>
    </row>
    <row r="59" spans="1:12" s="1" customFormat="1" ht="14.25" x14ac:dyDescent="0.2">
      <c r="A59" s="5" t="s">
        <v>619</v>
      </c>
      <c r="B59" s="7" t="s">
        <v>262</v>
      </c>
      <c r="C59" s="29">
        <v>15000</v>
      </c>
      <c r="D59" s="11">
        <v>0</v>
      </c>
      <c r="E59" s="9">
        <v>0</v>
      </c>
      <c r="F59" s="11">
        <v>0</v>
      </c>
      <c r="G59" s="9">
        <f t="shared" si="15"/>
        <v>15000</v>
      </c>
      <c r="H59" s="11">
        <v>0</v>
      </c>
      <c r="I59" s="70"/>
      <c r="J59" s="11">
        <f t="shared" si="16"/>
        <v>15000</v>
      </c>
      <c r="K59" s="9">
        <f t="shared" ref="K59:L59" si="21">J59*6/100+J59</f>
        <v>15900</v>
      </c>
      <c r="L59" s="11">
        <f t="shared" si="21"/>
        <v>16854</v>
      </c>
    </row>
    <row r="60" spans="1:12" s="258" customFormat="1" ht="14.25" x14ac:dyDescent="0.2">
      <c r="A60" s="253"/>
      <c r="B60" s="254" t="s">
        <v>470</v>
      </c>
      <c r="C60" s="255">
        <v>0</v>
      </c>
      <c r="D60" s="256">
        <v>0</v>
      </c>
      <c r="E60" s="257">
        <v>0</v>
      </c>
      <c r="F60" s="256">
        <v>0</v>
      </c>
      <c r="G60" s="257">
        <f t="shared" si="15"/>
        <v>0</v>
      </c>
      <c r="H60" s="256"/>
      <c r="I60" s="32">
        <v>500000</v>
      </c>
      <c r="J60" s="256">
        <f t="shared" si="16"/>
        <v>500000</v>
      </c>
      <c r="K60" s="257">
        <v>0</v>
      </c>
      <c r="L60" s="256">
        <v>0</v>
      </c>
    </row>
    <row r="61" spans="1:12" s="1" customFormat="1" ht="14.25" x14ac:dyDescent="0.2">
      <c r="A61" s="5"/>
      <c r="B61" s="7"/>
      <c r="C61" s="29"/>
      <c r="D61" s="11"/>
      <c r="E61" s="9"/>
      <c r="F61" s="11"/>
      <c r="G61" s="9"/>
      <c r="H61" s="11"/>
      <c r="I61" s="70"/>
      <c r="J61" s="11"/>
      <c r="K61" s="9"/>
      <c r="L61" s="11"/>
    </row>
    <row r="62" spans="1:12" s="3" customFormat="1" x14ac:dyDescent="0.25">
      <c r="A62" s="18"/>
      <c r="B62" s="19" t="s">
        <v>287</v>
      </c>
      <c r="C62" s="28">
        <f>SUM(C43:C61)</f>
        <v>3157000</v>
      </c>
      <c r="D62" s="36">
        <f t="shared" ref="D62:G62" si="22">SUM(D43:D61)</f>
        <v>93899.4</v>
      </c>
      <c r="E62" s="28">
        <f t="shared" si="22"/>
        <v>261654.47</v>
      </c>
      <c r="F62" s="36">
        <f t="shared" si="22"/>
        <v>508921.76</v>
      </c>
      <c r="G62" s="28">
        <f t="shared" si="22"/>
        <v>2386423.77</v>
      </c>
      <c r="H62" s="21">
        <v>16.12</v>
      </c>
      <c r="I62" s="71">
        <f t="shared" ref="I62:L62" si="23">SUM(I43:I61)</f>
        <v>486550</v>
      </c>
      <c r="J62" s="36">
        <f t="shared" si="23"/>
        <v>3643550</v>
      </c>
      <c r="K62" s="28">
        <f t="shared" si="23"/>
        <v>1046220</v>
      </c>
      <c r="L62" s="36">
        <f t="shared" si="23"/>
        <v>1108993.2</v>
      </c>
    </row>
    <row r="63" spans="1:12" s="3" customFormat="1" x14ac:dyDescent="0.25">
      <c r="A63" s="18"/>
      <c r="B63" s="19"/>
      <c r="C63" s="28"/>
      <c r="D63" s="21"/>
      <c r="E63" s="20"/>
      <c r="F63" s="21"/>
      <c r="G63" s="20"/>
      <c r="H63" s="21"/>
      <c r="I63" s="69"/>
      <c r="J63" s="21"/>
      <c r="K63" s="20"/>
      <c r="L63" s="21"/>
    </row>
    <row r="64" spans="1:12" s="3" customFormat="1" x14ac:dyDescent="0.25">
      <c r="A64" s="18"/>
      <c r="B64" s="19" t="s">
        <v>292</v>
      </c>
      <c r="C64" s="28">
        <f>C62</f>
        <v>3157000</v>
      </c>
      <c r="D64" s="36">
        <f t="shared" ref="D64:L64" si="24">D62</f>
        <v>93899.4</v>
      </c>
      <c r="E64" s="28">
        <f t="shared" si="24"/>
        <v>261654.47</v>
      </c>
      <c r="F64" s="36">
        <f t="shared" si="24"/>
        <v>508921.76</v>
      </c>
      <c r="G64" s="28">
        <f t="shared" si="24"/>
        <v>2386423.77</v>
      </c>
      <c r="H64" s="21">
        <v>16.12</v>
      </c>
      <c r="I64" s="71">
        <f t="shared" si="24"/>
        <v>486550</v>
      </c>
      <c r="J64" s="36">
        <f t="shared" si="24"/>
        <v>3643550</v>
      </c>
      <c r="K64" s="28">
        <f t="shared" si="24"/>
        <v>1046220</v>
      </c>
      <c r="L64" s="36">
        <f t="shared" si="24"/>
        <v>1108993.2</v>
      </c>
    </row>
    <row r="65" spans="1:12" s="3" customFormat="1" x14ac:dyDescent="0.25">
      <c r="A65" s="18"/>
      <c r="B65" s="19"/>
      <c r="C65" s="28"/>
      <c r="D65" s="21"/>
      <c r="E65" s="20"/>
      <c r="F65" s="21"/>
      <c r="G65" s="20"/>
      <c r="H65" s="21"/>
      <c r="I65" s="69"/>
      <c r="J65" s="21"/>
      <c r="K65" s="20"/>
      <c r="L65" s="21"/>
    </row>
    <row r="66" spans="1:12" s="3" customFormat="1" x14ac:dyDescent="0.25">
      <c r="A66" s="18"/>
      <c r="B66" s="19" t="s">
        <v>338</v>
      </c>
      <c r="C66" s="28">
        <f>C37+C64</f>
        <v>6434012</v>
      </c>
      <c r="D66" s="36">
        <f t="shared" ref="D66:G66" si="25">D37+D64</f>
        <v>362231.4</v>
      </c>
      <c r="E66" s="28">
        <f t="shared" si="25"/>
        <v>261654.47</v>
      </c>
      <c r="F66" s="36">
        <f t="shared" si="25"/>
        <v>1932581.37</v>
      </c>
      <c r="G66" s="28">
        <f t="shared" si="25"/>
        <v>4239776.16</v>
      </c>
      <c r="H66" s="21">
        <v>30.03</v>
      </c>
      <c r="I66" s="71">
        <f t="shared" ref="I66:L66" si="26">I37+I64</f>
        <v>451131</v>
      </c>
      <c r="J66" s="36">
        <f t="shared" si="26"/>
        <v>6885143</v>
      </c>
      <c r="K66" s="28">
        <f t="shared" si="26"/>
        <v>4426234.58</v>
      </c>
      <c r="L66" s="36">
        <f t="shared" si="26"/>
        <v>4691808.6547999997</v>
      </c>
    </row>
    <row r="67" spans="1:12" s="3" customFormat="1" x14ac:dyDescent="0.25">
      <c r="A67" s="18"/>
      <c r="B67" s="19"/>
      <c r="C67" s="28"/>
      <c r="D67" s="21"/>
      <c r="E67" s="20"/>
      <c r="F67" s="21"/>
      <c r="G67" s="20"/>
      <c r="H67" s="21"/>
      <c r="I67" s="69"/>
      <c r="J67" s="21"/>
      <c r="K67" s="20"/>
      <c r="L67" s="21"/>
    </row>
    <row r="68" spans="1:12" s="3" customFormat="1" x14ac:dyDescent="0.25">
      <c r="A68" s="18"/>
      <c r="B68" s="19" t="s">
        <v>339</v>
      </c>
      <c r="C68" s="28">
        <f>C66</f>
        <v>6434012</v>
      </c>
      <c r="D68" s="36">
        <f t="shared" ref="D68:G68" si="27">D66</f>
        <v>362231.4</v>
      </c>
      <c r="E68" s="28">
        <f t="shared" si="27"/>
        <v>261654.47</v>
      </c>
      <c r="F68" s="36">
        <f t="shared" si="27"/>
        <v>1932581.37</v>
      </c>
      <c r="G68" s="28">
        <f t="shared" si="27"/>
        <v>4239776.16</v>
      </c>
      <c r="H68" s="21">
        <v>30.03</v>
      </c>
      <c r="I68" s="71">
        <f t="shared" ref="I68:L68" si="28">I66</f>
        <v>451131</v>
      </c>
      <c r="J68" s="36">
        <f t="shared" si="28"/>
        <v>6885143</v>
      </c>
      <c r="K68" s="28">
        <f t="shared" si="28"/>
        <v>4426234.58</v>
      </c>
      <c r="L68" s="36">
        <f t="shared" si="28"/>
        <v>4691808.6547999997</v>
      </c>
    </row>
    <row r="69" spans="1:12" s="3" customFormat="1" x14ac:dyDescent="0.25">
      <c r="A69" s="18"/>
      <c r="B69" s="19"/>
      <c r="C69" s="28"/>
      <c r="D69" s="21"/>
      <c r="E69" s="20"/>
      <c r="F69" s="21"/>
      <c r="G69" s="20"/>
      <c r="H69" s="21"/>
      <c r="I69" s="69"/>
      <c r="J69" s="21"/>
      <c r="K69" s="20"/>
      <c r="L69" s="21"/>
    </row>
    <row r="70" spans="1:12" s="3" customFormat="1" x14ac:dyDescent="0.25">
      <c r="A70" s="18"/>
      <c r="B70" s="19" t="s">
        <v>340</v>
      </c>
      <c r="C70" s="28"/>
      <c r="D70" s="21"/>
      <c r="E70" s="20"/>
      <c r="F70" s="21"/>
      <c r="G70" s="20"/>
      <c r="H70" s="21"/>
      <c r="I70" s="69"/>
      <c r="J70" s="21"/>
      <c r="K70" s="20"/>
      <c r="L70" s="21"/>
    </row>
    <row r="71" spans="1:12" s="3" customFormat="1" x14ac:dyDescent="0.25">
      <c r="A71" s="18"/>
      <c r="B71" s="19"/>
      <c r="C71" s="28"/>
      <c r="D71" s="21"/>
      <c r="E71" s="20"/>
      <c r="F71" s="21"/>
      <c r="G71" s="20"/>
      <c r="H71" s="21"/>
      <c r="I71" s="69"/>
      <c r="J71" s="21"/>
      <c r="K71" s="20"/>
      <c r="L71" s="21"/>
    </row>
    <row r="72" spans="1:12" s="3" customFormat="1" x14ac:dyDescent="0.25">
      <c r="A72" s="18"/>
      <c r="B72" s="19" t="s">
        <v>353</v>
      </c>
      <c r="C72" s="28"/>
      <c r="D72" s="21"/>
      <c r="E72" s="20"/>
      <c r="F72" s="21"/>
      <c r="G72" s="20"/>
      <c r="H72" s="21"/>
      <c r="I72" s="69"/>
      <c r="J72" s="21"/>
      <c r="K72" s="20"/>
      <c r="L72" s="21"/>
    </row>
    <row r="73" spans="1:12" s="3" customFormat="1" x14ac:dyDescent="0.25">
      <c r="A73" s="18"/>
      <c r="B73" s="19"/>
      <c r="C73" s="28"/>
      <c r="D73" s="21"/>
      <c r="E73" s="20"/>
      <c r="F73" s="21"/>
      <c r="G73" s="20"/>
      <c r="H73" s="21"/>
      <c r="I73" s="69"/>
      <c r="J73" s="21"/>
      <c r="K73" s="20"/>
      <c r="L73" s="21"/>
    </row>
    <row r="74" spans="1:12" s="1" customFormat="1" ht="14.25" x14ac:dyDescent="0.2">
      <c r="A74" s="5" t="s">
        <v>620</v>
      </c>
      <c r="B74" s="7" t="s">
        <v>355</v>
      </c>
      <c r="C74" s="29">
        <v>-400000</v>
      </c>
      <c r="D74" s="11">
        <v>0</v>
      </c>
      <c r="E74" s="9">
        <v>0</v>
      </c>
      <c r="F74" s="11">
        <v>0</v>
      </c>
      <c r="G74" s="9">
        <v>-400000</v>
      </c>
      <c r="H74" s="11">
        <v>0</v>
      </c>
      <c r="I74" s="70"/>
      <c r="J74" s="11">
        <f t="shared" ref="J74" si="29">C74+I74</f>
        <v>-400000</v>
      </c>
      <c r="K74" s="9"/>
      <c r="L74" s="11"/>
    </row>
    <row r="75" spans="1:12" s="1" customFormat="1" ht="14.25" x14ac:dyDescent="0.2">
      <c r="A75" s="5" t="s">
        <v>621</v>
      </c>
      <c r="B75" s="7" t="s">
        <v>357</v>
      </c>
      <c r="C75" s="29">
        <v>0</v>
      </c>
      <c r="D75" s="11">
        <v>0</v>
      </c>
      <c r="E75" s="9">
        <v>0</v>
      </c>
      <c r="F75" s="11">
        <v>0</v>
      </c>
      <c r="G75" s="9">
        <v>0</v>
      </c>
      <c r="H75" s="11">
        <v>0</v>
      </c>
      <c r="I75" s="70"/>
      <c r="J75" s="11"/>
      <c r="K75" s="9"/>
      <c r="L75" s="11"/>
    </row>
    <row r="76" spans="1:12" s="1" customFormat="1" ht="14.25" x14ac:dyDescent="0.2">
      <c r="A76" s="5"/>
      <c r="B76" s="7"/>
      <c r="C76" s="29"/>
      <c r="D76" s="11"/>
      <c r="E76" s="9"/>
      <c r="F76" s="11"/>
      <c r="G76" s="9"/>
      <c r="H76" s="11"/>
      <c r="I76" s="70"/>
      <c r="J76" s="11"/>
      <c r="K76" s="9"/>
      <c r="L76" s="11"/>
    </row>
    <row r="77" spans="1:12" s="3" customFormat="1" x14ac:dyDescent="0.25">
      <c r="A77" s="18"/>
      <c r="B77" s="19" t="s">
        <v>360</v>
      </c>
      <c r="C77" s="28">
        <f>SUM(C74:C76)</f>
        <v>-400000</v>
      </c>
      <c r="D77" s="36">
        <f t="shared" ref="D77:G77" si="30">SUM(D74:D76)</f>
        <v>0</v>
      </c>
      <c r="E77" s="28">
        <f t="shared" si="30"/>
        <v>0</v>
      </c>
      <c r="F77" s="36">
        <f t="shared" si="30"/>
        <v>0</v>
      </c>
      <c r="G77" s="28">
        <f t="shared" si="30"/>
        <v>-400000</v>
      </c>
      <c r="H77" s="21">
        <v>0</v>
      </c>
      <c r="I77" s="71">
        <f t="shared" ref="I77:L77" si="31">SUM(I74:I76)</f>
        <v>0</v>
      </c>
      <c r="J77" s="36">
        <f t="shared" si="31"/>
        <v>-400000</v>
      </c>
      <c r="K77" s="28">
        <f t="shared" si="31"/>
        <v>0</v>
      </c>
      <c r="L77" s="36">
        <f t="shared" si="31"/>
        <v>0</v>
      </c>
    </row>
    <row r="78" spans="1:12" s="3" customFormat="1" x14ac:dyDescent="0.25">
      <c r="A78" s="18"/>
      <c r="B78" s="19"/>
      <c r="C78" s="28"/>
      <c r="D78" s="21"/>
      <c r="E78" s="20"/>
      <c r="F78" s="21"/>
      <c r="G78" s="20"/>
      <c r="H78" s="21"/>
      <c r="I78" s="69"/>
      <c r="J78" s="21"/>
      <c r="K78" s="20"/>
      <c r="L78" s="21"/>
    </row>
    <row r="79" spans="1:12" s="3" customFormat="1" x14ac:dyDescent="0.25">
      <c r="A79" s="18"/>
      <c r="B79" s="19" t="s">
        <v>375</v>
      </c>
      <c r="C79" s="28"/>
      <c r="D79" s="21"/>
      <c r="E79" s="20"/>
      <c r="F79" s="21"/>
      <c r="G79" s="20"/>
      <c r="H79" s="21"/>
      <c r="I79" s="69"/>
      <c r="J79" s="21"/>
      <c r="K79" s="20"/>
      <c r="L79" s="21"/>
    </row>
    <row r="80" spans="1:12" s="3" customFormat="1" x14ac:dyDescent="0.25">
      <c r="A80" s="18"/>
      <c r="B80" s="19"/>
      <c r="C80" s="28"/>
      <c r="D80" s="21"/>
      <c r="E80" s="20"/>
      <c r="F80" s="21"/>
      <c r="G80" s="20"/>
      <c r="H80" s="21"/>
      <c r="I80" s="69"/>
      <c r="J80" s="21"/>
      <c r="K80" s="20"/>
      <c r="L80" s="21"/>
    </row>
    <row r="81" spans="1:12" s="1" customFormat="1" ht="14.25" x14ac:dyDescent="0.2">
      <c r="A81" s="5" t="s">
        <v>622</v>
      </c>
      <c r="B81" s="7" t="s">
        <v>379</v>
      </c>
      <c r="C81" s="29">
        <v>-30392</v>
      </c>
      <c r="D81" s="11">
        <v>-15102.66</v>
      </c>
      <c r="E81" s="9">
        <v>0</v>
      </c>
      <c r="F81" s="11">
        <v>-29519.45</v>
      </c>
      <c r="G81" s="9">
        <v>-872.55</v>
      </c>
      <c r="H81" s="11">
        <v>97.12</v>
      </c>
      <c r="I81" s="70">
        <v>-30480.55</v>
      </c>
      <c r="J81" s="11">
        <f t="shared" ref="J81" si="32">C81+I81</f>
        <v>-60872.55</v>
      </c>
      <c r="K81" s="9"/>
      <c r="L81" s="11"/>
    </row>
    <row r="82" spans="1:12" s="1" customFormat="1" ht="14.25" x14ac:dyDescent="0.2">
      <c r="A82" s="5"/>
      <c r="B82" s="7"/>
      <c r="C82" s="29"/>
      <c r="D82" s="11"/>
      <c r="E82" s="9"/>
      <c r="F82" s="11"/>
      <c r="G82" s="9"/>
      <c r="H82" s="11"/>
      <c r="I82" s="70"/>
      <c r="J82" s="11"/>
      <c r="K82" s="9"/>
      <c r="L82" s="11"/>
    </row>
    <row r="83" spans="1:12" s="3" customFormat="1" x14ac:dyDescent="0.25">
      <c r="A83" s="18"/>
      <c r="B83" s="19" t="s">
        <v>380</v>
      </c>
      <c r="C83" s="28">
        <f>SUM(C81:C82)</f>
        <v>-30392</v>
      </c>
      <c r="D83" s="36">
        <f t="shared" ref="D83:G83" si="33">SUM(D81:D82)</f>
        <v>-15102.66</v>
      </c>
      <c r="E83" s="28">
        <f t="shared" si="33"/>
        <v>0</v>
      </c>
      <c r="F83" s="36">
        <f t="shared" si="33"/>
        <v>-29519.45</v>
      </c>
      <c r="G83" s="28">
        <f t="shared" si="33"/>
        <v>-872.55</v>
      </c>
      <c r="H83" s="21">
        <v>97.12</v>
      </c>
      <c r="I83" s="71">
        <f t="shared" ref="I83:L83" si="34">SUM(I81:I82)</f>
        <v>-30480.55</v>
      </c>
      <c r="J83" s="36">
        <f t="shared" si="34"/>
        <v>-60872.55</v>
      </c>
      <c r="K83" s="28">
        <f t="shared" si="34"/>
        <v>0</v>
      </c>
      <c r="L83" s="36">
        <f t="shared" si="34"/>
        <v>0</v>
      </c>
    </row>
    <row r="84" spans="1:12" s="3" customFormat="1" x14ac:dyDescent="0.25">
      <c r="A84" s="18"/>
      <c r="B84" s="19"/>
      <c r="C84" s="28"/>
      <c r="D84" s="21"/>
      <c r="E84" s="20"/>
      <c r="F84" s="21"/>
      <c r="G84" s="20"/>
      <c r="H84" s="21"/>
      <c r="I84" s="69"/>
      <c r="J84" s="21"/>
      <c r="K84" s="20"/>
      <c r="L84" s="21"/>
    </row>
    <row r="85" spans="1:12" s="3" customFormat="1" x14ac:dyDescent="0.25">
      <c r="A85" s="18"/>
      <c r="B85" s="19" t="s">
        <v>381</v>
      </c>
      <c r="C85" s="28"/>
      <c r="D85" s="21"/>
      <c r="E85" s="20"/>
      <c r="F85" s="21"/>
      <c r="G85" s="20"/>
      <c r="H85" s="21"/>
      <c r="I85" s="69"/>
      <c r="J85" s="21"/>
      <c r="K85" s="20"/>
      <c r="L85" s="21"/>
    </row>
    <row r="86" spans="1:12" s="1" customFormat="1" ht="14.25" x14ac:dyDescent="0.2">
      <c r="A86" s="5" t="s">
        <v>623</v>
      </c>
      <c r="B86" s="7" t="s">
        <v>383</v>
      </c>
      <c r="C86" s="29">
        <v>0</v>
      </c>
      <c r="D86" s="11">
        <v>0</v>
      </c>
      <c r="E86" s="9">
        <v>0</v>
      </c>
      <c r="F86" s="11">
        <v>0</v>
      </c>
      <c r="G86" s="9">
        <v>-2492</v>
      </c>
      <c r="H86" s="11">
        <v>0</v>
      </c>
      <c r="I86" s="70">
        <v>-1200</v>
      </c>
      <c r="J86" s="11">
        <f t="shared" ref="J86:J92" si="35">C86+I86</f>
        <v>-1200</v>
      </c>
      <c r="K86" s="9"/>
      <c r="L86" s="11"/>
    </row>
    <row r="87" spans="1:12" s="1" customFormat="1" ht="14.25" x14ac:dyDescent="0.2">
      <c r="A87" s="5" t="s">
        <v>624</v>
      </c>
      <c r="B87" s="7" t="s">
        <v>387</v>
      </c>
      <c r="C87" s="29">
        <v>-59616</v>
      </c>
      <c r="D87" s="11">
        <v>-1387.96</v>
      </c>
      <c r="E87" s="9">
        <v>0</v>
      </c>
      <c r="F87" s="11">
        <v>-7679.59</v>
      </c>
      <c r="G87" s="9">
        <v>-51936.41</v>
      </c>
      <c r="H87" s="11">
        <v>12.88</v>
      </c>
      <c r="I87" s="70">
        <v>44256.82</v>
      </c>
      <c r="J87" s="11">
        <f t="shared" si="35"/>
        <v>-15359.18</v>
      </c>
      <c r="K87" s="9"/>
      <c r="L87" s="11"/>
    </row>
    <row r="88" spans="1:12" s="1" customFormat="1" ht="14.25" x14ac:dyDescent="0.2">
      <c r="A88" s="5" t="s">
        <v>625</v>
      </c>
      <c r="B88" s="7" t="s">
        <v>355</v>
      </c>
      <c r="C88" s="29">
        <v>0</v>
      </c>
      <c r="D88" s="11">
        <v>0</v>
      </c>
      <c r="E88" s="9">
        <v>0</v>
      </c>
      <c r="F88" s="11">
        <v>0</v>
      </c>
      <c r="G88" s="9">
        <v>0</v>
      </c>
      <c r="H88" s="11">
        <v>0</v>
      </c>
      <c r="I88" s="70"/>
      <c r="J88" s="11">
        <f t="shared" si="35"/>
        <v>0</v>
      </c>
      <c r="K88" s="9"/>
      <c r="L88" s="11"/>
    </row>
    <row r="89" spans="1:12" s="1" customFormat="1" ht="14.25" x14ac:dyDescent="0.2">
      <c r="A89" s="5" t="s">
        <v>626</v>
      </c>
      <c r="B89" s="7" t="s">
        <v>389</v>
      </c>
      <c r="C89" s="29">
        <v>-36781</v>
      </c>
      <c r="D89" s="11">
        <v>-120.09</v>
      </c>
      <c r="E89" s="9">
        <v>0</v>
      </c>
      <c r="F89" s="11">
        <v>-4162.96</v>
      </c>
      <c r="G89" s="9">
        <v>-32618.04</v>
      </c>
      <c r="H89" s="11">
        <v>11.31</v>
      </c>
      <c r="I89" s="70">
        <v>45106.92</v>
      </c>
      <c r="J89" s="11">
        <f t="shared" si="35"/>
        <v>8325.9199999999983</v>
      </c>
      <c r="K89" s="9"/>
      <c r="L89" s="11"/>
    </row>
    <row r="90" spans="1:12" s="1" customFormat="1" ht="14.25" x14ac:dyDescent="0.2">
      <c r="A90" s="5" t="s">
        <v>627</v>
      </c>
      <c r="B90" s="7" t="s">
        <v>407</v>
      </c>
      <c r="C90" s="29">
        <v>0</v>
      </c>
      <c r="D90" s="11">
        <v>0</v>
      </c>
      <c r="E90" s="9">
        <v>0</v>
      </c>
      <c r="F90" s="11">
        <v>0</v>
      </c>
      <c r="G90" s="9">
        <v>0</v>
      </c>
      <c r="H90" s="11">
        <v>0</v>
      </c>
      <c r="I90" s="70"/>
      <c r="J90" s="11">
        <f t="shared" si="35"/>
        <v>0</v>
      </c>
      <c r="K90" s="9"/>
      <c r="L90" s="11"/>
    </row>
    <row r="91" spans="1:12" s="1" customFormat="1" ht="14.25" x14ac:dyDescent="0.2">
      <c r="A91" s="5" t="s">
        <v>628</v>
      </c>
      <c r="B91" s="7" t="s">
        <v>411</v>
      </c>
      <c r="C91" s="29">
        <v>0</v>
      </c>
      <c r="D91" s="11">
        <v>0</v>
      </c>
      <c r="E91" s="9">
        <v>0</v>
      </c>
      <c r="F91" s="11">
        <v>0</v>
      </c>
      <c r="G91" s="9">
        <v>0</v>
      </c>
      <c r="H91" s="11">
        <v>0</v>
      </c>
      <c r="I91" s="70"/>
      <c r="J91" s="11">
        <f t="shared" si="35"/>
        <v>0</v>
      </c>
      <c r="K91" s="9"/>
      <c r="L91" s="11"/>
    </row>
    <row r="92" spans="1:12" s="1" customFormat="1" ht="14.25" x14ac:dyDescent="0.2">
      <c r="A92" s="5" t="s">
        <v>629</v>
      </c>
      <c r="B92" s="7" t="s">
        <v>416</v>
      </c>
      <c r="C92" s="29">
        <v>-22260</v>
      </c>
      <c r="D92" s="11">
        <v>0</v>
      </c>
      <c r="E92" s="9">
        <v>0</v>
      </c>
      <c r="F92" s="11">
        <v>-12003.86</v>
      </c>
      <c r="G92" s="9">
        <v>-10256.14</v>
      </c>
      <c r="H92" s="11">
        <v>53.92</v>
      </c>
      <c r="I92" s="70"/>
      <c r="J92" s="11">
        <f t="shared" si="35"/>
        <v>-22260</v>
      </c>
      <c r="K92" s="9"/>
      <c r="L92" s="11"/>
    </row>
    <row r="93" spans="1:12" s="1" customFormat="1" ht="14.25" x14ac:dyDescent="0.2">
      <c r="A93" s="5"/>
      <c r="B93" s="7"/>
      <c r="C93" s="29"/>
      <c r="D93" s="11"/>
      <c r="E93" s="9"/>
      <c r="F93" s="11"/>
      <c r="G93" s="9"/>
      <c r="H93" s="11"/>
      <c r="I93" s="70"/>
      <c r="J93" s="11"/>
      <c r="K93" s="9"/>
      <c r="L93" s="11"/>
    </row>
    <row r="94" spans="1:12" s="3" customFormat="1" x14ac:dyDescent="0.25">
      <c r="A94" s="18"/>
      <c r="B94" s="19" t="s">
        <v>426</v>
      </c>
      <c r="C94" s="28">
        <f>SUM(C86:C93)</f>
        <v>-118657</v>
      </c>
      <c r="D94" s="36">
        <f t="shared" ref="D94:G94" si="36">SUM(D86:D93)</f>
        <v>-1508.05</v>
      </c>
      <c r="E94" s="28">
        <f t="shared" si="36"/>
        <v>0</v>
      </c>
      <c r="F94" s="36">
        <f t="shared" si="36"/>
        <v>-23846.41</v>
      </c>
      <c r="G94" s="28">
        <f t="shared" si="36"/>
        <v>-97302.590000000011</v>
      </c>
      <c r="H94" s="21">
        <v>19.68</v>
      </c>
      <c r="I94" s="71">
        <f t="shared" ref="I94:L94" si="37">SUM(I86:I93)</f>
        <v>88163.739999999991</v>
      </c>
      <c r="J94" s="36">
        <f t="shared" si="37"/>
        <v>-30493.260000000002</v>
      </c>
      <c r="K94" s="28">
        <f t="shared" si="37"/>
        <v>0</v>
      </c>
      <c r="L94" s="36">
        <f t="shared" si="37"/>
        <v>0</v>
      </c>
    </row>
    <row r="95" spans="1:12" s="3" customFormat="1" x14ac:dyDescent="0.25">
      <c r="A95" s="18"/>
      <c r="B95" s="19"/>
      <c r="C95" s="28"/>
      <c r="D95" s="21"/>
      <c r="E95" s="20"/>
      <c r="F95" s="21"/>
      <c r="G95" s="20"/>
      <c r="H95" s="21"/>
      <c r="I95" s="69"/>
      <c r="J95" s="21"/>
      <c r="K95" s="20"/>
      <c r="L95" s="21"/>
    </row>
    <row r="96" spans="1:12" s="3" customFormat="1" x14ac:dyDescent="0.25">
      <c r="A96" s="18"/>
      <c r="B96" s="19" t="s">
        <v>427</v>
      </c>
      <c r="C96" s="28">
        <f>C77+C83+C94</f>
        <v>-549049</v>
      </c>
      <c r="D96" s="36">
        <f t="shared" ref="D96:L96" si="38">D77+D83+D94</f>
        <v>-16610.71</v>
      </c>
      <c r="E96" s="28">
        <f t="shared" si="38"/>
        <v>0</v>
      </c>
      <c r="F96" s="36">
        <f t="shared" si="38"/>
        <v>-53365.86</v>
      </c>
      <c r="G96" s="28">
        <f t="shared" si="38"/>
        <v>-498175.14</v>
      </c>
      <c r="H96" s="21">
        <v>9.67</v>
      </c>
      <c r="I96" s="71">
        <f t="shared" si="38"/>
        <v>57683.189999999988</v>
      </c>
      <c r="J96" s="36">
        <f t="shared" si="38"/>
        <v>-491365.81</v>
      </c>
      <c r="K96" s="28">
        <f t="shared" si="38"/>
        <v>0</v>
      </c>
      <c r="L96" s="36">
        <f t="shared" si="38"/>
        <v>0</v>
      </c>
    </row>
    <row r="97" spans="1:12" s="3" customFormat="1" x14ac:dyDescent="0.25">
      <c r="A97" s="18"/>
      <c r="B97" s="19"/>
      <c r="C97" s="28"/>
      <c r="D97" s="21"/>
      <c r="E97" s="20"/>
      <c r="F97" s="21"/>
      <c r="G97" s="20"/>
      <c r="H97" s="21"/>
      <c r="I97" s="69"/>
      <c r="J97" s="21"/>
      <c r="K97" s="20"/>
      <c r="L97" s="21"/>
    </row>
    <row r="98" spans="1:12" s="3" customFormat="1" x14ac:dyDescent="0.25">
      <c r="A98" s="18"/>
      <c r="B98" s="19" t="s">
        <v>428</v>
      </c>
      <c r="C98" s="28">
        <f>C96</f>
        <v>-549049</v>
      </c>
      <c r="D98" s="36">
        <f t="shared" ref="D98:L98" si="39">D96</f>
        <v>-16610.71</v>
      </c>
      <c r="E98" s="28">
        <f t="shared" si="39"/>
        <v>0</v>
      </c>
      <c r="F98" s="36">
        <f t="shared" si="39"/>
        <v>-53365.86</v>
      </c>
      <c r="G98" s="28">
        <f t="shared" si="39"/>
        <v>-498175.14</v>
      </c>
      <c r="H98" s="21">
        <v>9.67</v>
      </c>
      <c r="I98" s="71">
        <f t="shared" si="39"/>
        <v>57683.189999999988</v>
      </c>
      <c r="J98" s="36">
        <f t="shared" si="39"/>
        <v>-491365.81</v>
      </c>
      <c r="K98" s="28">
        <f t="shared" si="39"/>
        <v>0</v>
      </c>
      <c r="L98" s="36">
        <f t="shared" si="39"/>
        <v>0</v>
      </c>
    </row>
    <row r="99" spans="1:12" s="3" customFormat="1" x14ac:dyDescent="0.25">
      <c r="A99" s="18"/>
      <c r="B99" s="19"/>
      <c r="C99" s="28"/>
      <c r="D99" s="21"/>
      <c r="E99" s="20"/>
      <c r="F99" s="21"/>
      <c r="G99" s="20"/>
      <c r="H99" s="21"/>
      <c r="I99" s="69"/>
      <c r="J99" s="21"/>
      <c r="K99" s="20"/>
      <c r="L99" s="21"/>
    </row>
    <row r="100" spans="1:12" s="3" customFormat="1" x14ac:dyDescent="0.25">
      <c r="A100" s="18"/>
      <c r="B100" s="19" t="s">
        <v>429</v>
      </c>
      <c r="C100" s="28">
        <f>C98</f>
        <v>-549049</v>
      </c>
      <c r="D100" s="36">
        <f t="shared" ref="D100:G100" si="40">D98</f>
        <v>-16610.71</v>
      </c>
      <c r="E100" s="28">
        <f t="shared" si="40"/>
        <v>0</v>
      </c>
      <c r="F100" s="36">
        <f t="shared" si="40"/>
        <v>-53365.86</v>
      </c>
      <c r="G100" s="28">
        <f t="shared" si="40"/>
        <v>-498175.14</v>
      </c>
      <c r="H100" s="21">
        <v>9.67</v>
      </c>
      <c r="I100" s="71">
        <f t="shared" ref="I100:L100" si="41">I98</f>
        <v>57683.189999999988</v>
      </c>
      <c r="J100" s="36">
        <f t="shared" si="41"/>
        <v>-491365.81</v>
      </c>
      <c r="K100" s="28">
        <f t="shared" si="41"/>
        <v>0</v>
      </c>
      <c r="L100" s="36">
        <f t="shared" si="41"/>
        <v>0</v>
      </c>
    </row>
    <row r="101" spans="1:12" s="3" customFormat="1" x14ac:dyDescent="0.25">
      <c r="A101" s="18"/>
      <c r="B101" s="19"/>
      <c r="C101" s="28"/>
      <c r="D101" s="21"/>
      <c r="E101" s="20"/>
      <c r="F101" s="21"/>
      <c r="G101" s="20"/>
      <c r="H101" s="21"/>
      <c r="I101" s="69"/>
      <c r="J101" s="21"/>
      <c r="K101" s="20"/>
      <c r="L101" s="21"/>
    </row>
    <row r="102" spans="1:12" s="3" customFormat="1" x14ac:dyDescent="0.25">
      <c r="A102" s="18"/>
      <c r="B102" s="19" t="s">
        <v>431</v>
      </c>
      <c r="C102" s="28"/>
      <c r="D102" s="21"/>
      <c r="E102" s="20"/>
      <c r="F102" s="21"/>
      <c r="G102" s="20"/>
      <c r="H102" s="21"/>
      <c r="I102" s="69"/>
      <c r="J102" s="21"/>
      <c r="K102" s="20"/>
      <c r="L102" s="21"/>
    </row>
    <row r="103" spans="1:12" s="1" customFormat="1" ht="14.25" x14ac:dyDescent="0.2">
      <c r="A103" s="5" t="s">
        <v>630</v>
      </c>
      <c r="B103" s="7" t="s">
        <v>433</v>
      </c>
      <c r="C103" s="29">
        <f>C68</f>
        <v>6434012</v>
      </c>
      <c r="D103" s="37">
        <f t="shared" ref="D103:G103" si="42">D68</f>
        <v>362231.4</v>
      </c>
      <c r="E103" s="29">
        <f t="shared" si="42"/>
        <v>261654.47</v>
      </c>
      <c r="F103" s="37">
        <f t="shared" si="42"/>
        <v>1932581.37</v>
      </c>
      <c r="G103" s="29">
        <f t="shared" si="42"/>
        <v>4239776.16</v>
      </c>
      <c r="H103" s="11">
        <v>30.03</v>
      </c>
      <c r="I103" s="70">
        <f>I68</f>
        <v>451131</v>
      </c>
      <c r="J103" s="11">
        <f t="shared" ref="J103:J104" si="43">C103+I103</f>
        <v>6885143</v>
      </c>
      <c r="K103" s="9"/>
      <c r="L103" s="11"/>
    </row>
    <row r="104" spans="1:12" s="1" customFormat="1" ht="14.25" x14ac:dyDescent="0.2">
      <c r="A104" s="5" t="s">
        <v>631</v>
      </c>
      <c r="B104" s="7" t="s">
        <v>429</v>
      </c>
      <c r="C104" s="29">
        <f>C100</f>
        <v>-549049</v>
      </c>
      <c r="D104" s="37">
        <f t="shared" ref="D104:G104" si="44">D100</f>
        <v>-16610.71</v>
      </c>
      <c r="E104" s="29">
        <f t="shared" si="44"/>
        <v>0</v>
      </c>
      <c r="F104" s="37">
        <f t="shared" si="44"/>
        <v>-53365.86</v>
      </c>
      <c r="G104" s="29">
        <f t="shared" si="44"/>
        <v>-498175.14</v>
      </c>
      <c r="H104" s="11">
        <v>9.67</v>
      </c>
      <c r="I104" s="70">
        <f>I100</f>
        <v>57683.189999999988</v>
      </c>
      <c r="J104" s="11">
        <f t="shared" si="43"/>
        <v>-491365.81</v>
      </c>
      <c r="K104" s="9"/>
      <c r="L104" s="11"/>
    </row>
    <row r="105" spans="1:12" s="1" customFormat="1" ht="14.25" x14ac:dyDescent="0.2">
      <c r="A105" s="5"/>
      <c r="B105" s="7"/>
      <c r="C105" s="29"/>
      <c r="D105" s="11"/>
      <c r="E105" s="9"/>
      <c r="F105" s="11"/>
      <c r="G105" s="9"/>
      <c r="H105" s="11"/>
      <c r="I105" s="70"/>
      <c r="J105" s="11"/>
      <c r="K105" s="9"/>
      <c r="L105" s="11"/>
    </row>
    <row r="106" spans="1:12" s="3" customFormat="1" x14ac:dyDescent="0.25">
      <c r="A106" s="18"/>
      <c r="B106" s="19" t="s">
        <v>435</v>
      </c>
      <c r="C106" s="28">
        <f>C103+C104</f>
        <v>5884963</v>
      </c>
      <c r="D106" s="36">
        <f t="shared" ref="D106:L106" si="45">D103+D104</f>
        <v>345620.69</v>
      </c>
      <c r="E106" s="28">
        <f t="shared" si="45"/>
        <v>261654.47</v>
      </c>
      <c r="F106" s="36">
        <f t="shared" si="45"/>
        <v>1879215.51</v>
      </c>
      <c r="G106" s="28">
        <f t="shared" si="45"/>
        <v>3741601.02</v>
      </c>
      <c r="H106" s="21">
        <v>31.94</v>
      </c>
      <c r="I106" s="71">
        <f>I103+I104</f>
        <v>508814.19</v>
      </c>
      <c r="J106" s="36">
        <f t="shared" si="45"/>
        <v>6393777.1900000004</v>
      </c>
      <c r="K106" s="28">
        <f t="shared" si="45"/>
        <v>0</v>
      </c>
      <c r="L106" s="36">
        <f t="shared" si="45"/>
        <v>0</v>
      </c>
    </row>
    <row r="107" spans="1:12" s="3" customFormat="1" x14ac:dyDescent="0.25">
      <c r="A107" s="18"/>
      <c r="B107" s="19"/>
      <c r="C107" s="28"/>
      <c r="D107" s="21"/>
      <c r="E107" s="20"/>
      <c r="F107" s="21"/>
      <c r="G107" s="20"/>
      <c r="H107" s="21"/>
      <c r="I107" s="69"/>
      <c r="J107" s="21"/>
      <c r="K107" s="20"/>
      <c r="L107" s="21"/>
    </row>
    <row r="108" spans="1:12" s="3" customFormat="1" x14ac:dyDescent="0.25">
      <c r="A108" s="18"/>
      <c r="B108" s="19" t="s">
        <v>436</v>
      </c>
      <c r="C108" s="28">
        <f>C106</f>
        <v>5884963</v>
      </c>
      <c r="D108" s="36">
        <f t="shared" ref="D108:G108" si="46">D106</f>
        <v>345620.69</v>
      </c>
      <c r="E108" s="28">
        <f t="shared" si="46"/>
        <v>261654.47</v>
      </c>
      <c r="F108" s="36">
        <f t="shared" si="46"/>
        <v>1879215.51</v>
      </c>
      <c r="G108" s="28">
        <f t="shared" si="46"/>
        <v>3741601.02</v>
      </c>
      <c r="H108" s="21">
        <v>31.94</v>
      </c>
      <c r="I108" s="71">
        <f t="shared" ref="I108:L108" si="47">I106</f>
        <v>508814.19</v>
      </c>
      <c r="J108" s="36">
        <f t="shared" si="47"/>
        <v>6393777.1900000004</v>
      </c>
      <c r="K108" s="28">
        <f t="shared" si="47"/>
        <v>0</v>
      </c>
      <c r="L108" s="36">
        <f t="shared" si="47"/>
        <v>0</v>
      </c>
    </row>
    <row r="109" spans="1:12" s="3" customFormat="1" x14ac:dyDescent="0.25">
      <c r="A109" s="18"/>
      <c r="B109" s="19"/>
      <c r="C109" s="28"/>
      <c r="D109" s="21"/>
      <c r="E109" s="20"/>
      <c r="F109" s="21"/>
      <c r="G109" s="20"/>
      <c r="H109" s="21"/>
      <c r="I109" s="69"/>
      <c r="J109" s="21"/>
      <c r="K109" s="20"/>
      <c r="L109" s="21"/>
    </row>
    <row r="110" spans="1:12" s="3" customFormat="1" x14ac:dyDescent="0.25">
      <c r="A110" s="18"/>
      <c r="B110" s="19" t="s">
        <v>437</v>
      </c>
      <c r="C110" s="28"/>
      <c r="D110" s="21"/>
      <c r="E110" s="20"/>
      <c r="F110" s="21"/>
      <c r="G110" s="20"/>
      <c r="H110" s="21"/>
      <c r="I110" s="69"/>
      <c r="J110" s="21"/>
      <c r="K110" s="20"/>
      <c r="L110" s="21"/>
    </row>
    <row r="111" spans="1:12" s="3" customFormat="1" x14ac:dyDescent="0.25">
      <c r="A111" s="18"/>
      <c r="B111" s="19"/>
      <c r="C111" s="28"/>
      <c r="D111" s="21"/>
      <c r="E111" s="20"/>
      <c r="F111" s="21"/>
      <c r="G111" s="20"/>
      <c r="H111" s="21"/>
      <c r="I111" s="69"/>
      <c r="J111" s="21"/>
      <c r="K111" s="20"/>
      <c r="L111" s="21"/>
    </row>
    <row r="112" spans="1:12" s="1" customFormat="1" ht="14.25" x14ac:dyDescent="0.2">
      <c r="A112" s="5" t="s">
        <v>633</v>
      </c>
      <c r="B112" s="7" t="s">
        <v>470</v>
      </c>
      <c r="C112" s="29">
        <v>500000</v>
      </c>
      <c r="D112" s="11">
        <v>0</v>
      </c>
      <c r="E112" s="9">
        <v>0</v>
      </c>
      <c r="F112" s="11">
        <v>0</v>
      </c>
      <c r="G112" s="9">
        <v>500000</v>
      </c>
      <c r="H112" s="11">
        <v>0</v>
      </c>
      <c r="I112" s="70">
        <v>-500000</v>
      </c>
      <c r="J112" s="11">
        <f t="shared" ref="J112:J116" si="48">C112+I112</f>
        <v>0</v>
      </c>
      <c r="K112" s="9">
        <v>0</v>
      </c>
      <c r="L112" s="9">
        <v>0</v>
      </c>
    </row>
    <row r="113" spans="1:12" s="1" customFormat="1" ht="14.25" x14ac:dyDescent="0.2">
      <c r="A113" s="5"/>
      <c r="B113" s="111" t="s">
        <v>1080</v>
      </c>
      <c r="C113" s="29"/>
      <c r="D113" s="11"/>
      <c r="E113" s="9"/>
      <c r="F113" s="11"/>
      <c r="G113" s="9"/>
      <c r="H113" s="11"/>
      <c r="I113" s="70">
        <v>0</v>
      </c>
      <c r="J113" s="11">
        <f t="shared" si="48"/>
        <v>0</v>
      </c>
      <c r="K113" s="11">
        <f>'[3]ALL DEPARTMENTS'!$I$670</f>
        <v>1000000</v>
      </c>
      <c r="L113" s="11">
        <f>'[3]ALL DEPARTMENTS'!$J$670</f>
        <v>1500000</v>
      </c>
    </row>
    <row r="114" spans="1:12" s="1" customFormat="1" ht="14.25" x14ac:dyDescent="0.2">
      <c r="A114" s="5"/>
      <c r="B114" s="111" t="s">
        <v>1081</v>
      </c>
      <c r="C114" s="29"/>
      <c r="D114" s="11"/>
      <c r="E114" s="9"/>
      <c r="F114" s="11"/>
      <c r="G114" s="9"/>
      <c r="H114" s="11"/>
      <c r="I114" s="70">
        <v>0</v>
      </c>
      <c r="J114" s="11">
        <f t="shared" si="48"/>
        <v>0</v>
      </c>
      <c r="K114" s="9">
        <f>'[3]ALL DEPARTMENTS'!$I$671</f>
        <v>500000</v>
      </c>
      <c r="L114" s="11">
        <f>'[3]ALL DEPARTMENTS'!$J$671</f>
        <v>500000</v>
      </c>
    </row>
    <row r="115" spans="1:12" s="1" customFormat="1" ht="14.25" x14ac:dyDescent="0.2">
      <c r="A115" s="5"/>
      <c r="B115" s="7" t="s">
        <v>1082</v>
      </c>
      <c r="C115" s="29"/>
      <c r="D115" s="11"/>
      <c r="E115" s="9"/>
      <c r="F115" s="11"/>
      <c r="G115" s="9"/>
      <c r="H115" s="11"/>
      <c r="I115" s="70">
        <v>0</v>
      </c>
      <c r="J115" s="11">
        <f t="shared" si="48"/>
        <v>0</v>
      </c>
      <c r="K115" s="9">
        <f>'[3]ALL DEPARTMENTS'!$I$673+'[3]ALL DEPARTMENTS'!$I$674+'[3]ALL DEPARTMENTS'!$I$675</f>
        <v>135000</v>
      </c>
      <c r="L115" s="11">
        <v>0</v>
      </c>
    </row>
    <row r="116" spans="1:12" s="1" customFormat="1" ht="14.25" x14ac:dyDescent="0.2">
      <c r="A116" s="5"/>
      <c r="B116" s="41" t="s">
        <v>142</v>
      </c>
      <c r="C116" s="29"/>
      <c r="D116" s="11"/>
      <c r="E116" s="9"/>
      <c r="F116" s="11"/>
      <c r="G116" s="9"/>
      <c r="H116" s="11"/>
      <c r="I116" s="70">
        <v>100000</v>
      </c>
      <c r="J116" s="11">
        <f t="shared" si="48"/>
        <v>100000</v>
      </c>
      <c r="K116" s="9">
        <v>0</v>
      </c>
      <c r="L116" s="11">
        <v>0</v>
      </c>
    </row>
    <row r="117" spans="1:12" s="1" customFormat="1" ht="14.25" x14ac:dyDescent="0.2">
      <c r="A117" s="5"/>
      <c r="B117" s="7"/>
      <c r="C117" s="29"/>
      <c r="D117" s="11"/>
      <c r="E117" s="9"/>
      <c r="F117" s="11"/>
      <c r="G117" s="9"/>
      <c r="H117" s="11"/>
      <c r="I117" s="70"/>
      <c r="J117" s="11"/>
      <c r="K117" s="9"/>
      <c r="L117" s="11"/>
    </row>
    <row r="118" spans="1:12" s="3" customFormat="1" x14ac:dyDescent="0.25">
      <c r="A118" s="18"/>
      <c r="B118" s="19" t="s">
        <v>471</v>
      </c>
      <c r="C118" s="28">
        <f>SUM(C112:C117)</f>
        <v>500000</v>
      </c>
      <c r="D118" s="36">
        <f t="shared" ref="D118:G118" si="49">SUM(D112:D117)</f>
        <v>0</v>
      </c>
      <c r="E118" s="28">
        <f t="shared" si="49"/>
        <v>0</v>
      </c>
      <c r="F118" s="36">
        <f t="shared" si="49"/>
        <v>0</v>
      </c>
      <c r="G118" s="28">
        <f t="shared" si="49"/>
        <v>500000</v>
      </c>
      <c r="H118" s="21">
        <v>0</v>
      </c>
      <c r="I118" s="71">
        <f t="shared" ref="I118:L118" si="50">SUM(I112:I117)</f>
        <v>-400000</v>
      </c>
      <c r="J118" s="36">
        <f t="shared" si="50"/>
        <v>100000</v>
      </c>
      <c r="K118" s="28">
        <f t="shared" si="50"/>
        <v>1635000</v>
      </c>
      <c r="L118" s="36">
        <f t="shared" si="50"/>
        <v>2000000</v>
      </c>
    </row>
    <row r="119" spans="1:12" s="3" customFormat="1" x14ac:dyDescent="0.25">
      <c r="A119" s="18"/>
      <c r="B119" s="19"/>
      <c r="C119" s="28"/>
      <c r="D119" s="21"/>
      <c r="E119" s="20"/>
      <c r="F119" s="21"/>
      <c r="G119" s="20"/>
      <c r="H119" s="21"/>
      <c r="I119" s="69"/>
      <c r="J119" s="21"/>
      <c r="K119" s="20"/>
      <c r="L119" s="21"/>
    </row>
    <row r="120" spans="1:12" s="3" customFormat="1" x14ac:dyDescent="0.25">
      <c r="A120" s="18"/>
      <c r="B120" s="19" t="s">
        <v>472</v>
      </c>
      <c r="C120" s="28">
        <f>C118</f>
        <v>500000</v>
      </c>
      <c r="D120" s="36">
        <f t="shared" ref="D120:L120" si="51">D118</f>
        <v>0</v>
      </c>
      <c r="E120" s="28">
        <f t="shared" si="51"/>
        <v>0</v>
      </c>
      <c r="F120" s="36">
        <f t="shared" si="51"/>
        <v>0</v>
      </c>
      <c r="G120" s="28">
        <f t="shared" si="51"/>
        <v>500000</v>
      </c>
      <c r="H120" s="21">
        <v>0</v>
      </c>
      <c r="I120" s="71">
        <f t="shared" si="51"/>
        <v>-400000</v>
      </c>
      <c r="J120" s="36">
        <f t="shared" si="51"/>
        <v>100000</v>
      </c>
      <c r="K120" s="28">
        <f t="shared" si="51"/>
        <v>1635000</v>
      </c>
      <c r="L120" s="36">
        <f t="shared" si="51"/>
        <v>2000000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Normal="100" workbookViewId="0">
      <pane xSplit="2" ySplit="1" topLeftCell="F4" activePane="bottomRight" state="frozen"/>
      <selection pane="topRight" activeCell="C1" sqref="C1"/>
      <selection pane="bottomLeft" activeCell="A2" sqref="A2"/>
      <selection pane="bottomRight" activeCell="B51" sqref="B51"/>
    </sheetView>
  </sheetViews>
  <sheetFormatPr defaultRowHeight="15" x14ac:dyDescent="0.25"/>
  <cols>
    <col min="1" max="1" width="18.42578125" bestFit="1" customWidth="1"/>
    <col min="2" max="2" width="56" bestFit="1" customWidth="1"/>
    <col min="3" max="3" width="18.42578125" customWidth="1"/>
    <col min="4" max="4" width="17.7109375" customWidth="1"/>
    <col min="5" max="5" width="18.140625" customWidth="1"/>
    <col min="6" max="6" width="19.42578125" customWidth="1"/>
    <col min="7" max="7" width="18.42578125" customWidth="1"/>
    <col min="9" max="9" width="15.28515625" style="73" customWidth="1"/>
    <col min="10" max="10" width="16.85546875" customWidth="1"/>
    <col min="11" max="11" width="14.7109375" customWidth="1"/>
    <col min="12" max="12" width="16.2851562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5" t="s">
        <v>7</v>
      </c>
      <c r="I1" s="68" t="s">
        <v>999</v>
      </c>
      <c r="J1" s="17" t="s">
        <v>1000</v>
      </c>
      <c r="K1" s="39" t="s">
        <v>1001</v>
      </c>
      <c r="L1" s="17" t="s">
        <v>1002</v>
      </c>
    </row>
    <row r="2" spans="1:12" s="3" customFormat="1" x14ac:dyDescent="0.25">
      <c r="A2" s="18"/>
      <c r="B2" s="19" t="s">
        <v>634</v>
      </c>
      <c r="C2" s="28"/>
      <c r="D2" s="21"/>
      <c r="E2" s="20"/>
      <c r="F2" s="21"/>
      <c r="G2" s="20"/>
      <c r="H2" s="21"/>
      <c r="I2" s="69"/>
      <c r="J2" s="21"/>
      <c r="K2" s="20"/>
      <c r="L2" s="21"/>
    </row>
    <row r="3" spans="1:12" s="3" customFormat="1" x14ac:dyDescent="0.25">
      <c r="A3" s="18"/>
      <c r="B3" s="19"/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 t="s">
        <v>9</v>
      </c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/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 t="s">
        <v>10</v>
      </c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/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 t="s">
        <v>11</v>
      </c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/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1" customFormat="1" ht="14.25" x14ac:dyDescent="0.2">
      <c r="A10" s="5" t="s">
        <v>636</v>
      </c>
      <c r="B10" s="7" t="s">
        <v>13</v>
      </c>
      <c r="C10" s="29">
        <v>250866</v>
      </c>
      <c r="D10" s="11">
        <v>0</v>
      </c>
      <c r="E10" s="9">
        <v>0</v>
      </c>
      <c r="F10" s="11">
        <v>102570.57</v>
      </c>
      <c r="G10" s="9">
        <f>C10-E10-F10</f>
        <v>148295.43</v>
      </c>
      <c r="H10" s="11">
        <v>40.880000000000003</v>
      </c>
      <c r="I10" s="70">
        <v>0</v>
      </c>
      <c r="J10" s="11">
        <f t="shared" ref="J10:J23" si="0">C10+I10</f>
        <v>250866</v>
      </c>
      <c r="K10" s="9"/>
      <c r="L10" s="11"/>
    </row>
    <row r="11" spans="1:12" s="1" customFormat="1" ht="14.25" x14ac:dyDescent="0.2">
      <c r="A11" s="5" t="s">
        <v>637</v>
      </c>
      <c r="B11" s="7" t="s">
        <v>15</v>
      </c>
      <c r="C11" s="29">
        <v>31320</v>
      </c>
      <c r="D11" s="11">
        <v>2100</v>
      </c>
      <c r="E11" s="9">
        <v>0</v>
      </c>
      <c r="F11" s="11">
        <v>9800</v>
      </c>
      <c r="G11" s="9">
        <f t="shared" ref="G11:G23" si="1">C11-E11-F11</f>
        <v>21520</v>
      </c>
      <c r="H11" s="11">
        <v>31.28</v>
      </c>
      <c r="I11" s="70">
        <v>-10000</v>
      </c>
      <c r="J11" s="11">
        <f t="shared" si="0"/>
        <v>21320</v>
      </c>
      <c r="K11" s="9"/>
      <c r="L11" s="11"/>
    </row>
    <row r="12" spans="1:12" s="1" customFormat="1" ht="14.25" x14ac:dyDescent="0.2">
      <c r="A12" s="5" t="s">
        <v>638</v>
      </c>
      <c r="B12" s="7" t="s">
        <v>17</v>
      </c>
      <c r="C12" s="29">
        <v>78462</v>
      </c>
      <c r="D12" s="11">
        <v>12314.05</v>
      </c>
      <c r="E12" s="9">
        <v>0</v>
      </c>
      <c r="F12" s="11">
        <v>73884.3</v>
      </c>
      <c r="G12" s="9">
        <f t="shared" si="1"/>
        <v>4577.6999999999971</v>
      </c>
      <c r="H12" s="11">
        <v>94.16</v>
      </c>
      <c r="I12" s="70">
        <v>0</v>
      </c>
      <c r="J12" s="11">
        <f t="shared" si="0"/>
        <v>78462</v>
      </c>
      <c r="K12" s="9"/>
      <c r="L12" s="11"/>
    </row>
    <row r="13" spans="1:12" s="1" customFormat="1" ht="14.25" x14ac:dyDescent="0.2">
      <c r="A13" s="5" t="s">
        <v>639</v>
      </c>
      <c r="B13" s="7" t="s">
        <v>19</v>
      </c>
      <c r="C13" s="29">
        <v>160000</v>
      </c>
      <c r="D13" s="11">
        <v>33280.720000000001</v>
      </c>
      <c r="E13" s="9">
        <v>23138.47</v>
      </c>
      <c r="F13" s="11">
        <v>156650.59</v>
      </c>
      <c r="G13" s="9">
        <f t="shared" si="1"/>
        <v>-19789.059999999998</v>
      </c>
      <c r="H13" s="11">
        <v>97.9</v>
      </c>
      <c r="I13" s="70">
        <v>156000</v>
      </c>
      <c r="J13" s="11">
        <f t="shared" si="0"/>
        <v>316000</v>
      </c>
      <c r="K13" s="9"/>
      <c r="L13" s="11"/>
    </row>
    <row r="14" spans="1:12" s="1" customFormat="1" ht="14.25" x14ac:dyDescent="0.2">
      <c r="A14" s="5" t="s">
        <v>640</v>
      </c>
      <c r="B14" s="7" t="s">
        <v>21</v>
      </c>
      <c r="C14" s="29">
        <v>0</v>
      </c>
      <c r="D14" s="11">
        <v>0</v>
      </c>
      <c r="E14" s="9">
        <v>0</v>
      </c>
      <c r="F14" s="11">
        <v>0</v>
      </c>
      <c r="G14" s="9">
        <f t="shared" si="1"/>
        <v>0</v>
      </c>
      <c r="H14" s="11">
        <v>0</v>
      </c>
      <c r="I14" s="70">
        <v>0</v>
      </c>
      <c r="J14" s="11">
        <f t="shared" si="0"/>
        <v>0</v>
      </c>
      <c r="K14" s="9"/>
      <c r="L14" s="11"/>
    </row>
    <row r="15" spans="1:12" s="1" customFormat="1" ht="14.25" x14ac:dyDescent="0.2">
      <c r="A15" s="5" t="s">
        <v>641</v>
      </c>
      <c r="B15" s="7" t="s">
        <v>22</v>
      </c>
      <c r="C15" s="29">
        <v>0</v>
      </c>
      <c r="D15" s="11">
        <v>0</v>
      </c>
      <c r="E15" s="9">
        <v>0</v>
      </c>
      <c r="F15" s="11">
        <v>0</v>
      </c>
      <c r="G15" s="9">
        <f t="shared" si="1"/>
        <v>0</v>
      </c>
      <c r="H15" s="11">
        <v>0</v>
      </c>
      <c r="I15" s="70">
        <v>0</v>
      </c>
      <c r="J15" s="11">
        <f t="shared" si="0"/>
        <v>0</v>
      </c>
      <c r="K15" s="9"/>
      <c r="L15" s="11"/>
    </row>
    <row r="16" spans="1:12" s="1" customFormat="1" ht="14.25" x14ac:dyDescent="0.2">
      <c r="A16" s="5" t="s">
        <v>642</v>
      </c>
      <c r="B16" s="7" t="s">
        <v>24</v>
      </c>
      <c r="C16" s="29">
        <v>174816</v>
      </c>
      <c r="D16" s="11">
        <v>27172.73</v>
      </c>
      <c r="E16" s="9">
        <v>0</v>
      </c>
      <c r="F16" s="11">
        <v>163036.38</v>
      </c>
      <c r="G16" s="9">
        <f t="shared" si="1"/>
        <v>11779.619999999995</v>
      </c>
      <c r="H16" s="11">
        <v>93.26</v>
      </c>
      <c r="I16" s="70">
        <v>0</v>
      </c>
      <c r="J16" s="11">
        <f t="shared" si="0"/>
        <v>174816</v>
      </c>
      <c r="K16" s="9"/>
      <c r="L16" s="11"/>
    </row>
    <row r="17" spans="1:12" s="1" customFormat="1" ht="14.25" x14ac:dyDescent="0.2">
      <c r="A17" s="5" t="s">
        <v>643</v>
      </c>
      <c r="B17" s="7" t="s">
        <v>26</v>
      </c>
      <c r="C17" s="29">
        <v>0</v>
      </c>
      <c r="D17" s="11">
        <v>0</v>
      </c>
      <c r="E17" s="9">
        <v>0</v>
      </c>
      <c r="F17" s="11">
        <v>0</v>
      </c>
      <c r="G17" s="9">
        <f t="shared" si="1"/>
        <v>0</v>
      </c>
      <c r="H17" s="11">
        <v>0</v>
      </c>
      <c r="I17" s="70">
        <v>0</v>
      </c>
      <c r="J17" s="11">
        <f t="shared" si="0"/>
        <v>0</v>
      </c>
      <c r="K17" s="9"/>
      <c r="L17" s="11"/>
    </row>
    <row r="18" spans="1:12" s="1" customFormat="1" ht="14.25" x14ac:dyDescent="0.2">
      <c r="A18" s="5" t="s">
        <v>644</v>
      </c>
      <c r="B18" s="7" t="s">
        <v>28</v>
      </c>
      <c r="C18" s="29">
        <v>34051</v>
      </c>
      <c r="D18" s="11">
        <v>0</v>
      </c>
      <c r="E18" s="9">
        <v>0</v>
      </c>
      <c r="F18" s="11">
        <v>0</v>
      </c>
      <c r="G18" s="9">
        <f t="shared" si="1"/>
        <v>34051</v>
      </c>
      <c r="H18" s="11">
        <v>0</v>
      </c>
      <c r="I18" s="70">
        <v>-34051</v>
      </c>
      <c r="J18" s="11">
        <f t="shared" si="0"/>
        <v>0</v>
      </c>
      <c r="K18" s="9"/>
      <c r="L18" s="11"/>
    </row>
    <row r="19" spans="1:12" s="1" customFormat="1" ht="14.25" x14ac:dyDescent="0.2">
      <c r="A19" s="5" t="s">
        <v>645</v>
      </c>
      <c r="B19" s="7" t="s">
        <v>30</v>
      </c>
      <c r="C19" s="29">
        <v>0</v>
      </c>
      <c r="D19" s="11">
        <v>0</v>
      </c>
      <c r="E19" s="9">
        <v>0</v>
      </c>
      <c r="F19" s="11">
        <v>0</v>
      </c>
      <c r="G19" s="9">
        <f t="shared" si="1"/>
        <v>0</v>
      </c>
      <c r="H19" s="11">
        <v>0</v>
      </c>
      <c r="I19" s="70">
        <v>0</v>
      </c>
      <c r="J19" s="11">
        <f t="shared" si="0"/>
        <v>0</v>
      </c>
      <c r="K19" s="9"/>
      <c r="L19" s="11"/>
    </row>
    <row r="20" spans="1:12" s="1" customFormat="1" ht="14.25" x14ac:dyDescent="0.2">
      <c r="A20" s="5" t="s">
        <v>646</v>
      </c>
      <c r="B20" s="7" t="s">
        <v>32</v>
      </c>
      <c r="C20" s="29">
        <v>9376453</v>
      </c>
      <c r="D20" s="11">
        <v>676258.91</v>
      </c>
      <c r="E20" s="9">
        <v>0</v>
      </c>
      <c r="F20" s="11">
        <v>4058725.25</v>
      </c>
      <c r="G20" s="9">
        <f t="shared" si="1"/>
        <v>5317727.75</v>
      </c>
      <c r="H20" s="11">
        <v>43.28</v>
      </c>
      <c r="I20" s="70">
        <v>0</v>
      </c>
      <c r="J20" s="11">
        <f t="shared" si="0"/>
        <v>9376453</v>
      </c>
      <c r="K20" s="9"/>
      <c r="L20" s="11"/>
    </row>
    <row r="21" spans="1:12" s="1" customFormat="1" ht="14.25" x14ac:dyDescent="0.2">
      <c r="A21" s="5" t="s">
        <v>647</v>
      </c>
      <c r="B21" s="7" t="s">
        <v>34</v>
      </c>
      <c r="C21" s="29">
        <v>0</v>
      </c>
      <c r="D21" s="11">
        <v>0</v>
      </c>
      <c r="E21" s="9">
        <v>0</v>
      </c>
      <c r="F21" s="11">
        <v>0</v>
      </c>
      <c r="G21" s="9">
        <f t="shared" si="1"/>
        <v>0</v>
      </c>
      <c r="H21" s="11">
        <v>0</v>
      </c>
      <c r="I21" s="70">
        <v>0</v>
      </c>
      <c r="J21" s="11">
        <f t="shared" si="0"/>
        <v>0</v>
      </c>
      <c r="K21" s="9"/>
      <c r="L21" s="11"/>
    </row>
    <row r="22" spans="1:12" s="1" customFormat="1" ht="14.25" x14ac:dyDescent="0.2">
      <c r="A22" s="5" t="s">
        <v>648</v>
      </c>
      <c r="B22" s="7" t="s">
        <v>36</v>
      </c>
      <c r="C22" s="29">
        <v>712183</v>
      </c>
      <c r="D22" s="11">
        <v>37682.629999999997</v>
      </c>
      <c r="E22" s="9">
        <v>0</v>
      </c>
      <c r="F22" s="11">
        <v>225879.63</v>
      </c>
      <c r="G22" s="9">
        <f t="shared" si="1"/>
        <v>486303.37</v>
      </c>
      <c r="H22" s="11">
        <v>31.71</v>
      </c>
      <c r="I22" s="70">
        <v>0</v>
      </c>
      <c r="J22" s="11">
        <f t="shared" si="0"/>
        <v>712183</v>
      </c>
      <c r="K22" s="9"/>
      <c r="L22" s="11"/>
    </row>
    <row r="23" spans="1:12" s="1" customFormat="1" ht="14.25" x14ac:dyDescent="0.2">
      <c r="A23" s="5" t="s">
        <v>649</v>
      </c>
      <c r="B23" s="7" t="s">
        <v>38</v>
      </c>
      <c r="C23" s="29">
        <v>100000</v>
      </c>
      <c r="D23" s="11">
        <v>8333.33</v>
      </c>
      <c r="E23" s="9">
        <v>0</v>
      </c>
      <c r="F23" s="11">
        <v>53894.98</v>
      </c>
      <c r="G23" s="9">
        <f t="shared" si="1"/>
        <v>46105.02</v>
      </c>
      <c r="H23" s="11">
        <v>53.89</v>
      </c>
      <c r="I23" s="70">
        <v>0</v>
      </c>
      <c r="J23" s="11">
        <f t="shared" si="0"/>
        <v>100000</v>
      </c>
      <c r="K23" s="9"/>
      <c r="L23" s="11"/>
    </row>
    <row r="24" spans="1:12" s="1" customFormat="1" ht="14.25" x14ac:dyDescent="0.2">
      <c r="A24" s="5"/>
      <c r="B24" s="7"/>
      <c r="C24" s="29"/>
      <c r="D24" s="11"/>
      <c r="E24" s="9"/>
      <c r="F24" s="11"/>
      <c r="G24" s="9"/>
      <c r="H24" s="11"/>
      <c r="I24" s="70"/>
      <c r="J24" s="11"/>
      <c r="K24" s="9"/>
      <c r="L24" s="11"/>
    </row>
    <row r="25" spans="1:12" s="3" customFormat="1" x14ac:dyDescent="0.25">
      <c r="A25" s="18"/>
      <c r="B25" s="19" t="s">
        <v>49</v>
      </c>
      <c r="C25" s="28">
        <f>SUM(C10:C24)</f>
        <v>10918151</v>
      </c>
      <c r="D25" s="36">
        <f t="shared" ref="D25:G25" si="2">SUM(D10:D24)</f>
        <v>797142.37</v>
      </c>
      <c r="E25" s="28">
        <f t="shared" si="2"/>
        <v>23138.47</v>
      </c>
      <c r="F25" s="36">
        <f t="shared" si="2"/>
        <v>4844441.7</v>
      </c>
      <c r="G25" s="28">
        <f t="shared" si="2"/>
        <v>6050570.8300000001</v>
      </c>
      <c r="H25" s="21">
        <v>44.37</v>
      </c>
      <c r="I25" s="71">
        <f t="shared" ref="I25:L25" si="3">SUM(I10:I24)</f>
        <v>111949</v>
      </c>
      <c r="J25" s="36">
        <f t="shared" si="3"/>
        <v>11030100</v>
      </c>
      <c r="K25" s="28">
        <f t="shared" si="3"/>
        <v>0</v>
      </c>
      <c r="L25" s="36">
        <f t="shared" si="3"/>
        <v>0</v>
      </c>
    </row>
    <row r="26" spans="1:12" s="3" customFormat="1" x14ac:dyDescent="0.25">
      <c r="A26" s="18"/>
      <c r="B26" s="19"/>
      <c r="C26" s="28"/>
      <c r="D26" s="21"/>
      <c r="E26" s="20"/>
      <c r="F26" s="21"/>
      <c r="G26" s="20"/>
      <c r="H26" s="21"/>
      <c r="I26" s="69"/>
      <c r="J26" s="21"/>
      <c r="K26" s="20"/>
      <c r="L26" s="21"/>
    </row>
    <row r="27" spans="1:12" s="3" customFormat="1" x14ac:dyDescent="0.25">
      <c r="A27" s="18"/>
      <c r="B27" s="19" t="s">
        <v>50</v>
      </c>
      <c r="C27" s="28"/>
      <c r="D27" s="21"/>
      <c r="E27" s="20"/>
      <c r="F27" s="21"/>
      <c r="G27" s="20"/>
      <c r="H27" s="21"/>
      <c r="I27" s="69"/>
      <c r="J27" s="21"/>
      <c r="K27" s="20"/>
      <c r="L27" s="21"/>
    </row>
    <row r="28" spans="1:12" s="3" customFormat="1" x14ac:dyDescent="0.25">
      <c r="A28" s="18"/>
      <c r="B28" s="19"/>
      <c r="C28" s="28"/>
      <c r="D28" s="21"/>
      <c r="E28" s="20"/>
      <c r="F28" s="21"/>
      <c r="G28" s="20"/>
      <c r="H28" s="21"/>
      <c r="I28" s="69"/>
      <c r="J28" s="21"/>
      <c r="K28" s="20"/>
      <c r="L28" s="21"/>
    </row>
    <row r="29" spans="1:12" s="1" customFormat="1" ht="14.25" x14ac:dyDescent="0.2">
      <c r="A29" s="5" t="s">
        <v>650</v>
      </c>
      <c r="B29" s="7" t="s">
        <v>53</v>
      </c>
      <c r="C29" s="29">
        <v>686</v>
      </c>
      <c r="D29" s="11">
        <v>50.75</v>
      </c>
      <c r="E29" s="9">
        <v>0</v>
      </c>
      <c r="F29" s="11">
        <v>297.25</v>
      </c>
      <c r="G29" s="9">
        <f t="shared" ref="G29:G34" si="4">C29-E29-F29</f>
        <v>388.75</v>
      </c>
      <c r="H29" s="11">
        <v>43.33</v>
      </c>
      <c r="I29" s="70">
        <v>0</v>
      </c>
      <c r="J29" s="11">
        <f t="shared" ref="J29:J34" si="5">C29+I29</f>
        <v>686</v>
      </c>
      <c r="K29" s="9"/>
      <c r="L29" s="11"/>
    </row>
    <row r="30" spans="1:12" s="1" customFormat="1" ht="14.25" x14ac:dyDescent="0.2">
      <c r="A30" s="5" t="s">
        <v>651</v>
      </c>
      <c r="B30" s="7" t="s">
        <v>55</v>
      </c>
      <c r="C30" s="29">
        <v>15788</v>
      </c>
      <c r="D30" s="11">
        <v>975.65</v>
      </c>
      <c r="E30" s="9">
        <v>0</v>
      </c>
      <c r="F30" s="11">
        <v>5699.75</v>
      </c>
      <c r="G30" s="9">
        <f t="shared" si="4"/>
        <v>10088.25</v>
      </c>
      <c r="H30" s="11">
        <v>36.1</v>
      </c>
      <c r="I30" s="70">
        <v>0</v>
      </c>
      <c r="J30" s="11">
        <f t="shared" si="5"/>
        <v>15788</v>
      </c>
      <c r="K30" s="9"/>
      <c r="L30" s="11"/>
    </row>
    <row r="31" spans="1:12" s="1" customFormat="1" ht="14.25" x14ac:dyDescent="0.2">
      <c r="A31" s="5" t="s">
        <v>652</v>
      </c>
      <c r="B31" s="7" t="s">
        <v>57</v>
      </c>
      <c r="C31" s="29">
        <v>167977</v>
      </c>
      <c r="D31" s="11">
        <v>12792.6</v>
      </c>
      <c r="E31" s="9">
        <v>0</v>
      </c>
      <c r="F31" s="11">
        <v>58603.8</v>
      </c>
      <c r="G31" s="9">
        <f t="shared" si="4"/>
        <v>109373.2</v>
      </c>
      <c r="H31" s="11">
        <v>34.880000000000003</v>
      </c>
      <c r="I31" s="70">
        <v>0</v>
      </c>
      <c r="J31" s="11">
        <f t="shared" si="5"/>
        <v>167977</v>
      </c>
      <c r="K31" s="9"/>
      <c r="L31" s="11"/>
    </row>
    <row r="32" spans="1:12" s="1" customFormat="1" ht="14.25" x14ac:dyDescent="0.2">
      <c r="A32" s="5" t="s">
        <v>653</v>
      </c>
      <c r="B32" s="7" t="s">
        <v>59</v>
      </c>
      <c r="C32" s="29">
        <v>662285</v>
      </c>
      <c r="D32" s="11">
        <v>31732.78</v>
      </c>
      <c r="E32" s="9">
        <v>0</v>
      </c>
      <c r="F32" s="11">
        <v>190817.48</v>
      </c>
      <c r="G32" s="9">
        <f t="shared" si="4"/>
        <v>471467.52000000002</v>
      </c>
      <c r="H32" s="11">
        <v>28.81</v>
      </c>
      <c r="I32" s="70">
        <v>0</v>
      </c>
      <c r="J32" s="11">
        <f t="shared" si="5"/>
        <v>662285</v>
      </c>
      <c r="K32" s="9"/>
      <c r="L32" s="11"/>
    </row>
    <row r="33" spans="1:12" s="1" customFormat="1" ht="14.25" x14ac:dyDescent="0.2">
      <c r="A33" s="5" t="s">
        <v>654</v>
      </c>
      <c r="B33" s="7" t="s">
        <v>60</v>
      </c>
      <c r="C33" s="29">
        <v>0</v>
      </c>
      <c r="D33" s="11">
        <v>0</v>
      </c>
      <c r="E33" s="9">
        <v>0</v>
      </c>
      <c r="F33" s="11">
        <v>0</v>
      </c>
      <c r="G33" s="9">
        <f t="shared" si="4"/>
        <v>0</v>
      </c>
      <c r="H33" s="11">
        <v>0</v>
      </c>
      <c r="I33" s="70">
        <v>0</v>
      </c>
      <c r="J33" s="11">
        <f t="shared" si="5"/>
        <v>0</v>
      </c>
      <c r="K33" s="9"/>
      <c r="L33" s="11"/>
    </row>
    <row r="34" spans="1:12" s="1" customFormat="1" ht="14.25" x14ac:dyDescent="0.2">
      <c r="A34" s="5" t="s">
        <v>655</v>
      </c>
      <c r="B34" s="7" t="s">
        <v>635</v>
      </c>
      <c r="C34" s="29">
        <v>187529</v>
      </c>
      <c r="D34" s="11">
        <v>7354.7</v>
      </c>
      <c r="E34" s="9">
        <v>0</v>
      </c>
      <c r="F34" s="11">
        <v>44727.94</v>
      </c>
      <c r="G34" s="9">
        <f t="shared" si="4"/>
        <v>142801.06</v>
      </c>
      <c r="H34" s="11">
        <v>23.85</v>
      </c>
      <c r="I34" s="70">
        <v>0</v>
      </c>
      <c r="J34" s="11">
        <f t="shared" si="5"/>
        <v>187529</v>
      </c>
      <c r="K34" s="9"/>
      <c r="L34" s="11"/>
    </row>
    <row r="35" spans="1:12" s="1" customFormat="1" ht="14.25" x14ac:dyDescent="0.2">
      <c r="A35" s="5"/>
      <c r="B35" s="7"/>
      <c r="C35" s="29"/>
      <c r="D35" s="11"/>
      <c r="E35" s="9"/>
      <c r="F35" s="11"/>
      <c r="G35" s="9"/>
      <c r="H35" s="11"/>
      <c r="I35" s="70"/>
      <c r="J35" s="11"/>
      <c r="K35" s="9"/>
      <c r="L35" s="11"/>
    </row>
    <row r="36" spans="1:12" s="3" customFormat="1" x14ac:dyDescent="0.25">
      <c r="A36" s="18"/>
      <c r="B36" s="19" t="s">
        <v>63</v>
      </c>
      <c r="C36" s="28">
        <f>SUM(C29:C35)</f>
        <v>1034265</v>
      </c>
      <c r="D36" s="36">
        <f t="shared" ref="D36:G36" si="6">SUM(D29:D35)</f>
        <v>52906.479999999996</v>
      </c>
      <c r="E36" s="28">
        <f t="shared" si="6"/>
        <v>0</v>
      </c>
      <c r="F36" s="36">
        <f t="shared" si="6"/>
        <v>300146.22000000003</v>
      </c>
      <c r="G36" s="28">
        <f t="shared" si="6"/>
        <v>734118.78</v>
      </c>
      <c r="H36" s="21">
        <v>29.02</v>
      </c>
      <c r="I36" s="71">
        <f t="shared" ref="I36:L36" si="7">SUM(I29:I35)</f>
        <v>0</v>
      </c>
      <c r="J36" s="36">
        <f t="shared" si="7"/>
        <v>1034265</v>
      </c>
      <c r="K36" s="28">
        <f t="shared" si="7"/>
        <v>0</v>
      </c>
      <c r="L36" s="36">
        <f t="shared" si="7"/>
        <v>0</v>
      </c>
    </row>
    <row r="37" spans="1:12" s="3" customFormat="1" x14ac:dyDescent="0.25">
      <c r="A37" s="18"/>
      <c r="B37" s="19"/>
      <c r="C37" s="28"/>
      <c r="D37" s="21"/>
      <c r="E37" s="20"/>
      <c r="F37" s="21"/>
      <c r="G37" s="20"/>
      <c r="H37" s="21"/>
      <c r="I37" s="69"/>
      <c r="J37" s="21"/>
      <c r="K37" s="20"/>
      <c r="L37" s="21"/>
    </row>
    <row r="38" spans="1:12" s="3" customFormat="1" x14ac:dyDescent="0.25">
      <c r="A38" s="18"/>
      <c r="B38" s="19" t="s">
        <v>73</v>
      </c>
      <c r="C38" s="28">
        <f>C25+C36</f>
        <v>11952416</v>
      </c>
      <c r="D38" s="36">
        <f t="shared" ref="D38:L38" si="8">D25+D36</f>
        <v>850048.85</v>
      </c>
      <c r="E38" s="28">
        <f t="shared" si="8"/>
        <v>23138.47</v>
      </c>
      <c r="F38" s="36">
        <f t="shared" si="8"/>
        <v>5144587.92</v>
      </c>
      <c r="G38" s="28">
        <f t="shared" si="8"/>
        <v>6784689.6100000003</v>
      </c>
      <c r="H38" s="21">
        <v>43.04</v>
      </c>
      <c r="I38" s="71">
        <f t="shared" si="8"/>
        <v>111949</v>
      </c>
      <c r="J38" s="36">
        <f t="shared" si="8"/>
        <v>12064365</v>
      </c>
      <c r="K38" s="28">
        <f t="shared" si="8"/>
        <v>0</v>
      </c>
      <c r="L38" s="36">
        <f t="shared" si="8"/>
        <v>0</v>
      </c>
    </row>
    <row r="39" spans="1:12" s="3" customFormat="1" x14ac:dyDescent="0.25">
      <c r="A39" s="18"/>
      <c r="B39" s="19"/>
      <c r="C39" s="28"/>
      <c r="D39" s="21"/>
      <c r="E39" s="20"/>
      <c r="F39" s="21"/>
      <c r="G39" s="20"/>
      <c r="H39" s="21"/>
      <c r="I39" s="69"/>
      <c r="J39" s="21"/>
      <c r="K39" s="20"/>
      <c r="L39" s="21"/>
    </row>
    <row r="40" spans="1:12" s="3" customFormat="1" x14ac:dyDescent="0.25">
      <c r="A40" s="18"/>
      <c r="B40" s="19" t="s">
        <v>74</v>
      </c>
      <c r="C40" s="28"/>
      <c r="D40" s="21"/>
      <c r="E40" s="20"/>
      <c r="F40" s="21"/>
      <c r="G40" s="20"/>
      <c r="H40" s="21"/>
      <c r="I40" s="69"/>
      <c r="J40" s="21"/>
      <c r="K40" s="20"/>
      <c r="L40" s="21"/>
    </row>
    <row r="41" spans="1:12" s="3" customFormat="1" x14ac:dyDescent="0.25">
      <c r="A41" s="18"/>
      <c r="B41" s="19"/>
      <c r="C41" s="28"/>
      <c r="D41" s="21"/>
      <c r="E41" s="20"/>
      <c r="F41" s="21"/>
      <c r="G41" s="20"/>
      <c r="H41" s="21"/>
      <c r="I41" s="69"/>
      <c r="J41" s="21"/>
      <c r="K41" s="20"/>
      <c r="L41" s="21"/>
    </row>
    <row r="42" spans="1:12" s="3" customFormat="1" x14ac:dyDescent="0.25">
      <c r="A42" s="18"/>
      <c r="B42" s="19" t="s">
        <v>75</v>
      </c>
      <c r="C42" s="28"/>
      <c r="D42" s="21"/>
      <c r="E42" s="20"/>
      <c r="F42" s="21"/>
      <c r="G42" s="20"/>
      <c r="H42" s="21"/>
      <c r="I42" s="69"/>
      <c r="J42" s="21"/>
      <c r="K42" s="20"/>
      <c r="L42" s="21"/>
    </row>
    <row r="43" spans="1:12" s="3" customFormat="1" x14ac:dyDescent="0.25">
      <c r="A43" s="18"/>
      <c r="B43" s="19"/>
      <c r="C43" s="28"/>
      <c r="D43" s="21"/>
      <c r="E43" s="20"/>
      <c r="F43" s="21"/>
      <c r="G43" s="20"/>
      <c r="H43" s="21"/>
      <c r="I43" s="69"/>
      <c r="J43" s="21"/>
      <c r="K43" s="20"/>
      <c r="L43" s="21"/>
    </row>
    <row r="44" spans="1:12" s="1" customFormat="1" ht="14.25" x14ac:dyDescent="0.2">
      <c r="A44" s="5" t="s">
        <v>656</v>
      </c>
      <c r="B44" s="7" t="s">
        <v>77</v>
      </c>
      <c r="C44" s="29">
        <v>120000</v>
      </c>
      <c r="D44" s="11">
        <v>6882.37</v>
      </c>
      <c r="E44" s="9">
        <v>9745.0400000000009</v>
      </c>
      <c r="F44" s="11">
        <v>45977.46</v>
      </c>
      <c r="G44" s="9">
        <f t="shared" ref="G44:G55" si="9">C44-E44-F44</f>
        <v>64277.499999999993</v>
      </c>
      <c r="H44" s="11">
        <v>38.31</v>
      </c>
      <c r="I44" s="70">
        <v>0</v>
      </c>
      <c r="J44" s="11">
        <f t="shared" ref="J44:J55" si="10">C44+I44</f>
        <v>120000</v>
      </c>
      <c r="K44" s="9"/>
      <c r="L44" s="11"/>
    </row>
    <row r="45" spans="1:12" s="1" customFormat="1" ht="14.25" x14ac:dyDescent="0.2">
      <c r="A45" s="5" t="s">
        <v>657</v>
      </c>
      <c r="B45" s="7" t="s">
        <v>530</v>
      </c>
      <c r="C45" s="29">
        <v>70000</v>
      </c>
      <c r="D45" s="11">
        <v>2512.8000000000002</v>
      </c>
      <c r="E45" s="9">
        <v>6179.82</v>
      </c>
      <c r="F45" s="11">
        <v>26529.57</v>
      </c>
      <c r="G45" s="9">
        <f t="shared" si="9"/>
        <v>37290.61</v>
      </c>
      <c r="H45" s="11">
        <v>37.89</v>
      </c>
      <c r="I45" s="70">
        <v>0</v>
      </c>
      <c r="J45" s="11">
        <f t="shared" si="10"/>
        <v>70000</v>
      </c>
      <c r="K45" s="9"/>
      <c r="L45" s="11"/>
    </row>
    <row r="46" spans="1:12" s="1" customFormat="1" ht="14.25" x14ac:dyDescent="0.2">
      <c r="A46" s="5" t="s">
        <v>658</v>
      </c>
      <c r="B46" s="7" t="s">
        <v>89</v>
      </c>
      <c r="C46" s="29">
        <v>250000</v>
      </c>
      <c r="D46" s="11">
        <v>8923.2000000000007</v>
      </c>
      <c r="E46" s="9">
        <v>48000</v>
      </c>
      <c r="F46" s="11">
        <v>126119.21</v>
      </c>
      <c r="G46" s="9">
        <f t="shared" si="9"/>
        <v>75880.789999999994</v>
      </c>
      <c r="H46" s="11">
        <v>50.44</v>
      </c>
      <c r="I46" s="70">
        <v>60000</v>
      </c>
      <c r="J46" s="11">
        <f t="shared" si="10"/>
        <v>310000</v>
      </c>
      <c r="K46" s="9"/>
      <c r="L46" s="11"/>
    </row>
    <row r="47" spans="1:12" s="1" customFormat="1" ht="14.25" x14ac:dyDescent="0.2">
      <c r="A47" s="5" t="s">
        <v>659</v>
      </c>
      <c r="B47" s="7" t="s">
        <v>93</v>
      </c>
      <c r="C47" s="29">
        <v>2986617</v>
      </c>
      <c r="D47" s="11">
        <v>591126.91</v>
      </c>
      <c r="E47" s="9">
        <v>566343.80000000005</v>
      </c>
      <c r="F47" s="11">
        <v>1331979.31</v>
      </c>
      <c r="G47" s="9">
        <f t="shared" si="9"/>
        <v>1088293.8900000001</v>
      </c>
      <c r="H47" s="11">
        <v>44.59</v>
      </c>
      <c r="I47" s="70">
        <v>-400000</v>
      </c>
      <c r="J47" s="11">
        <f t="shared" si="10"/>
        <v>2586617</v>
      </c>
      <c r="K47" s="9"/>
      <c r="L47" s="11"/>
    </row>
    <row r="48" spans="1:12" s="1" customFormat="1" ht="14.25" x14ac:dyDescent="0.2">
      <c r="A48" s="5" t="s">
        <v>660</v>
      </c>
      <c r="B48" s="7" t="s">
        <v>499</v>
      </c>
      <c r="C48" s="29">
        <v>52900</v>
      </c>
      <c r="D48" s="11">
        <v>3150</v>
      </c>
      <c r="E48" s="9">
        <v>1624</v>
      </c>
      <c r="F48" s="11">
        <v>3150</v>
      </c>
      <c r="G48" s="9">
        <f t="shared" si="9"/>
        <v>48126</v>
      </c>
      <c r="H48" s="11">
        <v>5.95</v>
      </c>
      <c r="I48" s="70">
        <v>0</v>
      </c>
      <c r="J48" s="11">
        <f t="shared" si="10"/>
        <v>52900</v>
      </c>
      <c r="K48" s="9"/>
      <c r="L48" s="11"/>
    </row>
    <row r="49" spans="1:12" s="1" customFormat="1" ht="14.25" x14ac:dyDescent="0.2">
      <c r="A49" s="5" t="s">
        <v>661</v>
      </c>
      <c r="B49" s="7" t="s">
        <v>166</v>
      </c>
      <c r="C49" s="29">
        <v>600000</v>
      </c>
      <c r="D49" s="11">
        <v>240948.19</v>
      </c>
      <c r="E49" s="9">
        <v>0</v>
      </c>
      <c r="F49" s="11">
        <v>240948.19</v>
      </c>
      <c r="G49" s="9">
        <f t="shared" si="9"/>
        <v>359051.81</v>
      </c>
      <c r="H49" s="11">
        <v>40.15</v>
      </c>
      <c r="I49" s="70">
        <v>130000</v>
      </c>
      <c r="J49" s="11">
        <f t="shared" si="10"/>
        <v>730000</v>
      </c>
      <c r="K49" s="9"/>
      <c r="L49" s="11"/>
    </row>
    <row r="50" spans="1:12" s="1" customFormat="1" ht="14.25" x14ac:dyDescent="0.2">
      <c r="A50" s="5" t="s">
        <v>662</v>
      </c>
      <c r="B50" s="7" t="s">
        <v>197</v>
      </c>
      <c r="C50" s="29">
        <v>300000</v>
      </c>
      <c r="D50" s="11">
        <v>0</v>
      </c>
      <c r="E50" s="9">
        <v>0</v>
      </c>
      <c r="F50" s="11">
        <v>8172.45</v>
      </c>
      <c r="G50" s="9">
        <f t="shared" si="9"/>
        <v>291827.55</v>
      </c>
      <c r="H50" s="11">
        <v>2.72</v>
      </c>
      <c r="I50" s="70">
        <v>-50000</v>
      </c>
      <c r="J50" s="11">
        <f t="shared" si="10"/>
        <v>250000</v>
      </c>
      <c r="K50" s="9"/>
      <c r="L50" s="11"/>
    </row>
    <row r="51" spans="1:12" s="1" customFormat="1" ht="14.25" x14ac:dyDescent="0.2">
      <c r="A51" s="5" t="s">
        <v>663</v>
      </c>
      <c r="B51" s="7" t="s">
        <v>664</v>
      </c>
      <c r="C51" s="29">
        <v>250000</v>
      </c>
      <c r="D51" s="11">
        <v>99061.61</v>
      </c>
      <c r="E51" s="9">
        <v>86471.4</v>
      </c>
      <c r="F51" s="11">
        <v>99061.61</v>
      </c>
      <c r="G51" s="9">
        <f t="shared" si="9"/>
        <v>64466.990000000005</v>
      </c>
      <c r="H51" s="11">
        <v>39.619999999999997</v>
      </c>
      <c r="I51" s="70">
        <f>75000+156769</f>
        <v>231769</v>
      </c>
      <c r="J51" s="11">
        <f t="shared" si="10"/>
        <v>481769</v>
      </c>
      <c r="K51" s="9"/>
      <c r="L51" s="11"/>
    </row>
    <row r="52" spans="1:12" s="258" customFormat="1" ht="14.25" x14ac:dyDescent="0.2">
      <c r="A52" s="253"/>
      <c r="B52" s="254" t="s">
        <v>205</v>
      </c>
      <c r="C52" s="255">
        <v>0</v>
      </c>
      <c r="D52" s="256">
        <v>0</v>
      </c>
      <c r="E52" s="257">
        <v>0</v>
      </c>
      <c r="F52" s="256">
        <v>0</v>
      </c>
      <c r="G52" s="257">
        <f t="shared" si="9"/>
        <v>0</v>
      </c>
      <c r="H52" s="256"/>
      <c r="I52" s="32">
        <v>40000</v>
      </c>
      <c r="J52" s="256">
        <f t="shared" si="10"/>
        <v>40000</v>
      </c>
      <c r="K52" s="257"/>
      <c r="L52" s="256"/>
    </row>
    <row r="53" spans="1:12" s="1" customFormat="1" ht="14.25" x14ac:dyDescent="0.2">
      <c r="A53" s="5" t="s">
        <v>665</v>
      </c>
      <c r="B53" s="7" t="s">
        <v>207</v>
      </c>
      <c r="C53" s="29">
        <v>800000</v>
      </c>
      <c r="D53" s="11">
        <v>22753.51</v>
      </c>
      <c r="E53" s="9">
        <v>7060</v>
      </c>
      <c r="F53" s="11">
        <v>216785.51</v>
      </c>
      <c r="G53" s="9">
        <f t="shared" si="9"/>
        <v>576154.49</v>
      </c>
      <c r="H53" s="11">
        <v>27.09</v>
      </c>
      <c r="I53" s="70">
        <v>0</v>
      </c>
      <c r="J53" s="11">
        <f t="shared" si="10"/>
        <v>800000</v>
      </c>
      <c r="K53" s="9"/>
      <c r="L53" s="11"/>
    </row>
    <row r="54" spans="1:12" s="1" customFormat="1" ht="14.25" x14ac:dyDescent="0.2">
      <c r="A54" s="5" t="s">
        <v>666</v>
      </c>
      <c r="B54" s="7" t="s">
        <v>217</v>
      </c>
      <c r="C54" s="29">
        <v>2000</v>
      </c>
      <c r="D54" s="11">
        <v>0</v>
      </c>
      <c r="E54" s="9">
        <v>0</v>
      </c>
      <c r="F54" s="11">
        <v>1979.69</v>
      </c>
      <c r="G54" s="9">
        <f t="shared" si="9"/>
        <v>20.309999999999945</v>
      </c>
      <c r="H54" s="11">
        <v>98.98</v>
      </c>
      <c r="I54" s="70">
        <v>0</v>
      </c>
      <c r="J54" s="11">
        <f t="shared" si="10"/>
        <v>2000</v>
      </c>
      <c r="K54" s="9"/>
      <c r="L54" s="11"/>
    </row>
    <row r="55" spans="1:12" s="1" customFormat="1" ht="14.25" x14ac:dyDescent="0.2">
      <c r="A55" s="5" t="s">
        <v>667</v>
      </c>
      <c r="B55" s="7" t="s">
        <v>262</v>
      </c>
      <c r="C55" s="29">
        <v>15000</v>
      </c>
      <c r="D55" s="11">
        <v>0</v>
      </c>
      <c r="E55" s="9">
        <v>0</v>
      </c>
      <c r="F55" s="11">
        <v>0</v>
      </c>
      <c r="G55" s="9">
        <f t="shared" si="9"/>
        <v>15000</v>
      </c>
      <c r="H55" s="11">
        <v>0</v>
      </c>
      <c r="I55" s="70">
        <v>0</v>
      </c>
      <c r="J55" s="11">
        <f t="shared" si="10"/>
        <v>15000</v>
      </c>
      <c r="K55" s="9"/>
      <c r="L55" s="11"/>
    </row>
    <row r="56" spans="1:12" s="1" customFormat="1" ht="14.25" x14ac:dyDescent="0.2">
      <c r="A56" s="5"/>
      <c r="B56" s="7"/>
      <c r="C56" s="29"/>
      <c r="D56" s="11"/>
      <c r="E56" s="9"/>
      <c r="F56" s="11"/>
      <c r="G56" s="9"/>
      <c r="H56" s="11"/>
      <c r="I56" s="70"/>
      <c r="J56" s="11"/>
      <c r="K56" s="9"/>
      <c r="L56" s="11"/>
    </row>
    <row r="57" spans="1:12" s="3" customFormat="1" x14ac:dyDescent="0.25">
      <c r="A57" s="18"/>
      <c r="B57" s="19" t="s">
        <v>287</v>
      </c>
      <c r="C57" s="28">
        <f>SUM(C44:C56)</f>
        <v>5446517</v>
      </c>
      <c r="D57" s="36">
        <f t="shared" ref="D57:G57" si="11">SUM(D44:D56)</f>
        <v>975358.59</v>
      </c>
      <c r="E57" s="28">
        <f t="shared" si="11"/>
        <v>725424.06</v>
      </c>
      <c r="F57" s="36">
        <f t="shared" si="11"/>
        <v>2100703</v>
      </c>
      <c r="G57" s="28">
        <f t="shared" si="11"/>
        <v>2620389.94</v>
      </c>
      <c r="H57" s="21">
        <v>38.56</v>
      </c>
      <c r="I57" s="71">
        <f t="shared" ref="I57:L57" si="12">SUM(I44:I56)</f>
        <v>11769</v>
      </c>
      <c r="J57" s="36">
        <f t="shared" si="12"/>
        <v>5458286</v>
      </c>
      <c r="K57" s="28">
        <f t="shared" si="12"/>
        <v>0</v>
      </c>
      <c r="L57" s="36">
        <f t="shared" si="12"/>
        <v>0</v>
      </c>
    </row>
    <row r="58" spans="1:12" s="3" customFormat="1" x14ac:dyDescent="0.25">
      <c r="A58" s="18"/>
      <c r="B58" s="19"/>
      <c r="C58" s="28"/>
      <c r="D58" s="21"/>
      <c r="E58" s="20"/>
      <c r="F58" s="21"/>
      <c r="G58" s="20"/>
      <c r="H58" s="21"/>
      <c r="I58" s="69"/>
      <c r="J58" s="21"/>
      <c r="K58" s="20"/>
      <c r="L58" s="21"/>
    </row>
    <row r="59" spans="1:12" s="3" customFormat="1" x14ac:dyDescent="0.25">
      <c r="A59" s="18"/>
      <c r="B59" s="19" t="s">
        <v>292</v>
      </c>
      <c r="C59" s="28">
        <f>SUM(C57)</f>
        <v>5446517</v>
      </c>
      <c r="D59" s="36">
        <f t="shared" ref="D59:L59" si="13">SUM(D57)</f>
        <v>975358.59</v>
      </c>
      <c r="E59" s="28">
        <f t="shared" si="13"/>
        <v>725424.06</v>
      </c>
      <c r="F59" s="36">
        <f t="shared" si="13"/>
        <v>2100703</v>
      </c>
      <c r="G59" s="28">
        <f t="shared" si="13"/>
        <v>2620389.94</v>
      </c>
      <c r="H59" s="21">
        <v>38.56</v>
      </c>
      <c r="I59" s="71">
        <f t="shared" si="13"/>
        <v>11769</v>
      </c>
      <c r="J59" s="36">
        <f t="shared" si="13"/>
        <v>5458286</v>
      </c>
      <c r="K59" s="28">
        <f t="shared" si="13"/>
        <v>0</v>
      </c>
      <c r="L59" s="36">
        <f t="shared" si="13"/>
        <v>0</v>
      </c>
    </row>
    <row r="60" spans="1:12" s="3" customFormat="1" x14ac:dyDescent="0.25">
      <c r="A60" s="18"/>
      <c r="B60" s="19"/>
      <c r="C60" s="28"/>
      <c r="D60" s="21"/>
      <c r="E60" s="20"/>
      <c r="F60" s="21"/>
      <c r="G60" s="20"/>
      <c r="H60" s="21"/>
      <c r="I60" s="69"/>
      <c r="J60" s="21"/>
      <c r="K60" s="20"/>
      <c r="L60" s="21"/>
    </row>
    <row r="61" spans="1:12" s="3" customFormat="1" x14ac:dyDescent="0.25">
      <c r="A61" s="18"/>
      <c r="B61" s="19" t="s">
        <v>338</v>
      </c>
      <c r="C61" s="28">
        <f>C38+C59</f>
        <v>17398933</v>
      </c>
      <c r="D61" s="36">
        <f t="shared" ref="D61:L61" si="14">D38+D59</f>
        <v>1825407.44</v>
      </c>
      <c r="E61" s="28">
        <f t="shared" si="14"/>
        <v>748562.53</v>
      </c>
      <c r="F61" s="36">
        <f t="shared" si="14"/>
        <v>7245290.9199999999</v>
      </c>
      <c r="G61" s="28">
        <f t="shared" si="14"/>
        <v>9405079.5500000007</v>
      </c>
      <c r="H61" s="21">
        <v>41.64</v>
      </c>
      <c r="I61" s="71">
        <f t="shared" si="14"/>
        <v>123718</v>
      </c>
      <c r="J61" s="36">
        <f t="shared" si="14"/>
        <v>17522651</v>
      </c>
      <c r="K61" s="28">
        <f t="shared" si="14"/>
        <v>0</v>
      </c>
      <c r="L61" s="36">
        <f t="shared" si="14"/>
        <v>0</v>
      </c>
    </row>
    <row r="62" spans="1:12" s="3" customFormat="1" x14ac:dyDescent="0.25">
      <c r="A62" s="18"/>
      <c r="B62" s="19"/>
      <c r="C62" s="28"/>
      <c r="D62" s="21"/>
      <c r="E62" s="20"/>
      <c r="F62" s="21"/>
      <c r="G62" s="20"/>
      <c r="H62" s="21"/>
      <c r="I62" s="69"/>
      <c r="J62" s="21"/>
      <c r="K62" s="20"/>
      <c r="L62" s="21"/>
    </row>
    <row r="63" spans="1:12" s="3" customFormat="1" x14ac:dyDescent="0.25">
      <c r="A63" s="18"/>
      <c r="B63" s="19" t="s">
        <v>339</v>
      </c>
      <c r="C63" s="28">
        <f>C61</f>
        <v>17398933</v>
      </c>
      <c r="D63" s="36">
        <f t="shared" ref="D63:L63" si="15">D61</f>
        <v>1825407.44</v>
      </c>
      <c r="E63" s="28">
        <f t="shared" si="15"/>
        <v>748562.53</v>
      </c>
      <c r="F63" s="36">
        <f t="shared" si="15"/>
        <v>7245290.9199999999</v>
      </c>
      <c r="G63" s="28">
        <f t="shared" si="15"/>
        <v>9405079.5500000007</v>
      </c>
      <c r="H63" s="21">
        <v>41.64</v>
      </c>
      <c r="I63" s="71">
        <f t="shared" si="15"/>
        <v>123718</v>
      </c>
      <c r="J63" s="36">
        <f t="shared" si="15"/>
        <v>17522651</v>
      </c>
      <c r="K63" s="28">
        <f t="shared" si="15"/>
        <v>0</v>
      </c>
      <c r="L63" s="36">
        <f t="shared" si="15"/>
        <v>0</v>
      </c>
    </row>
    <row r="64" spans="1:12" s="3" customFormat="1" x14ac:dyDescent="0.25">
      <c r="A64" s="18"/>
      <c r="B64" s="19"/>
      <c r="C64" s="28"/>
      <c r="D64" s="21"/>
      <c r="E64" s="20"/>
      <c r="F64" s="21"/>
      <c r="G64" s="20"/>
      <c r="H64" s="21"/>
      <c r="I64" s="69"/>
      <c r="J64" s="21"/>
      <c r="K64" s="20"/>
      <c r="L64" s="21"/>
    </row>
    <row r="65" spans="1:12" s="3" customFormat="1" x14ac:dyDescent="0.25">
      <c r="A65" s="18"/>
      <c r="B65" s="19" t="s">
        <v>340</v>
      </c>
      <c r="C65" s="28"/>
      <c r="D65" s="21"/>
      <c r="E65" s="20"/>
      <c r="F65" s="21"/>
      <c r="G65" s="20"/>
      <c r="H65" s="21"/>
      <c r="I65" s="69"/>
      <c r="J65" s="21"/>
      <c r="K65" s="20"/>
      <c r="L65" s="21"/>
    </row>
    <row r="66" spans="1:12" s="3" customFormat="1" x14ac:dyDescent="0.25">
      <c r="A66" s="18"/>
      <c r="B66" s="19"/>
      <c r="C66" s="28"/>
      <c r="D66" s="21"/>
      <c r="E66" s="20"/>
      <c r="F66" s="21"/>
      <c r="G66" s="20"/>
      <c r="H66" s="21"/>
      <c r="I66" s="69"/>
      <c r="J66" s="21"/>
      <c r="K66" s="20"/>
      <c r="L66" s="21"/>
    </row>
    <row r="67" spans="1:12" s="3" customFormat="1" ht="13.5" customHeight="1" x14ac:dyDescent="0.25">
      <c r="A67" s="18"/>
      <c r="B67" s="19" t="s">
        <v>431</v>
      </c>
      <c r="C67" s="28"/>
      <c r="D67" s="21"/>
      <c r="E67" s="20"/>
      <c r="F67" s="21"/>
      <c r="G67" s="20"/>
      <c r="H67" s="21"/>
      <c r="I67" s="69"/>
      <c r="J67" s="21"/>
      <c r="K67" s="20"/>
      <c r="L67" s="21"/>
    </row>
    <row r="68" spans="1:12" s="3" customFormat="1" ht="13.5" customHeight="1" x14ac:dyDescent="0.25">
      <c r="A68" s="18"/>
      <c r="B68" s="19"/>
      <c r="C68" s="28"/>
      <c r="D68" s="21"/>
      <c r="E68" s="20"/>
      <c r="F68" s="21"/>
      <c r="G68" s="20"/>
      <c r="H68" s="21"/>
      <c r="I68" s="69"/>
      <c r="J68" s="21"/>
      <c r="K68" s="20"/>
      <c r="L68" s="21"/>
    </row>
    <row r="69" spans="1:12" s="1" customFormat="1" ht="14.25" x14ac:dyDescent="0.2">
      <c r="A69" s="5" t="s">
        <v>668</v>
      </c>
      <c r="B69" s="7" t="s">
        <v>433</v>
      </c>
      <c r="C69" s="29">
        <f>C63</f>
        <v>17398933</v>
      </c>
      <c r="D69" s="37">
        <f t="shared" ref="D69:L69" si="16">D63</f>
        <v>1825407.44</v>
      </c>
      <c r="E69" s="29">
        <f t="shared" si="16"/>
        <v>748562.53</v>
      </c>
      <c r="F69" s="37">
        <f t="shared" si="16"/>
        <v>7245290.9199999999</v>
      </c>
      <c r="G69" s="29">
        <f t="shared" si="16"/>
        <v>9405079.5500000007</v>
      </c>
      <c r="H69" s="11">
        <v>41.64</v>
      </c>
      <c r="I69" s="76">
        <f t="shared" si="16"/>
        <v>123718</v>
      </c>
      <c r="J69" s="37">
        <f t="shared" si="16"/>
        <v>17522651</v>
      </c>
      <c r="K69" s="29">
        <f t="shared" si="16"/>
        <v>0</v>
      </c>
      <c r="L69" s="37">
        <f t="shared" si="16"/>
        <v>0</v>
      </c>
    </row>
    <row r="70" spans="1:12" s="1" customFormat="1" ht="14.25" x14ac:dyDescent="0.2">
      <c r="A70" s="5" t="s">
        <v>669</v>
      </c>
      <c r="B70" s="7" t="s">
        <v>429</v>
      </c>
      <c r="C70" s="29">
        <v>0</v>
      </c>
      <c r="D70" s="11">
        <v>0</v>
      </c>
      <c r="E70" s="9">
        <v>0</v>
      </c>
      <c r="F70" s="11">
        <v>0</v>
      </c>
      <c r="G70" s="9">
        <v>0</v>
      </c>
      <c r="H70" s="11">
        <v>0</v>
      </c>
      <c r="I70" s="70">
        <v>0</v>
      </c>
      <c r="J70" s="11"/>
      <c r="K70" s="9"/>
      <c r="L70" s="11"/>
    </row>
    <row r="71" spans="1:12" s="1" customFormat="1" ht="14.25" x14ac:dyDescent="0.2">
      <c r="A71" s="5"/>
      <c r="B71" s="7"/>
      <c r="C71" s="29"/>
      <c r="D71" s="11"/>
      <c r="E71" s="9"/>
      <c r="F71" s="11"/>
      <c r="G71" s="9"/>
      <c r="H71" s="11"/>
      <c r="I71" s="70"/>
      <c r="J71" s="11"/>
      <c r="K71" s="9"/>
      <c r="L71" s="11"/>
    </row>
    <row r="72" spans="1:12" s="3" customFormat="1" x14ac:dyDescent="0.25">
      <c r="A72" s="18"/>
      <c r="B72" s="19" t="s">
        <v>435</v>
      </c>
      <c r="C72" s="28">
        <f>C69+C70</f>
        <v>17398933</v>
      </c>
      <c r="D72" s="36">
        <f t="shared" ref="D72:L72" si="17">D69+D70</f>
        <v>1825407.44</v>
      </c>
      <c r="E72" s="28">
        <f t="shared" si="17"/>
        <v>748562.53</v>
      </c>
      <c r="F72" s="36">
        <f t="shared" si="17"/>
        <v>7245290.9199999999</v>
      </c>
      <c r="G72" s="28">
        <f t="shared" si="17"/>
        <v>9405079.5500000007</v>
      </c>
      <c r="H72" s="21">
        <v>41.64</v>
      </c>
      <c r="I72" s="71">
        <f>I69+I70</f>
        <v>123718</v>
      </c>
      <c r="J72" s="36">
        <f t="shared" si="17"/>
        <v>17522651</v>
      </c>
      <c r="K72" s="28">
        <f t="shared" si="17"/>
        <v>0</v>
      </c>
      <c r="L72" s="36">
        <f t="shared" si="17"/>
        <v>0</v>
      </c>
    </row>
    <row r="73" spans="1:12" s="3" customFormat="1" x14ac:dyDescent="0.25">
      <c r="A73" s="18"/>
      <c r="B73" s="19"/>
      <c r="C73" s="28"/>
      <c r="D73" s="21"/>
      <c r="E73" s="20"/>
      <c r="F73" s="21"/>
      <c r="G73" s="20"/>
      <c r="H73" s="21"/>
      <c r="I73" s="69"/>
      <c r="J73" s="21"/>
      <c r="K73" s="20"/>
      <c r="L73" s="21"/>
    </row>
    <row r="74" spans="1:12" s="3" customFormat="1" x14ac:dyDescent="0.25">
      <c r="A74" s="18"/>
      <c r="B74" s="19" t="s">
        <v>436</v>
      </c>
      <c r="C74" s="28">
        <f>C72</f>
        <v>17398933</v>
      </c>
      <c r="D74" s="36">
        <f t="shared" ref="D74:G74" si="18">D72</f>
        <v>1825407.44</v>
      </c>
      <c r="E74" s="28">
        <f t="shared" si="18"/>
        <v>748562.53</v>
      </c>
      <c r="F74" s="36">
        <f t="shared" si="18"/>
        <v>7245290.9199999999</v>
      </c>
      <c r="G74" s="28">
        <f t="shared" si="18"/>
        <v>9405079.5500000007</v>
      </c>
      <c r="H74" s="21">
        <v>41.64</v>
      </c>
      <c r="I74" s="71">
        <f t="shared" ref="I74:L74" si="19">I72</f>
        <v>123718</v>
      </c>
      <c r="J74" s="36">
        <f t="shared" si="19"/>
        <v>17522651</v>
      </c>
      <c r="K74" s="28">
        <f t="shared" si="19"/>
        <v>0</v>
      </c>
      <c r="L74" s="36">
        <f t="shared" si="19"/>
        <v>0</v>
      </c>
    </row>
    <row r="75" spans="1:12" s="3" customFormat="1" x14ac:dyDescent="0.25">
      <c r="A75" s="18"/>
      <c r="B75" s="19"/>
      <c r="C75" s="28"/>
      <c r="D75" s="21"/>
      <c r="E75" s="20"/>
      <c r="F75" s="21"/>
      <c r="G75" s="20"/>
      <c r="H75" s="21"/>
      <c r="I75" s="69"/>
      <c r="J75" s="21"/>
      <c r="K75" s="20"/>
      <c r="L75" s="21"/>
    </row>
    <row r="76" spans="1:12" s="3" customFormat="1" x14ac:dyDescent="0.25">
      <c r="A76" s="18"/>
      <c r="B76" s="19" t="s">
        <v>437</v>
      </c>
      <c r="C76" s="28"/>
      <c r="D76" s="21"/>
      <c r="E76" s="20"/>
      <c r="F76" s="21"/>
      <c r="G76" s="20"/>
      <c r="H76" s="21"/>
      <c r="I76" s="69"/>
      <c r="J76" s="21"/>
      <c r="K76" s="20"/>
      <c r="L76" s="21"/>
    </row>
    <row r="77" spans="1:12" s="3" customFormat="1" x14ac:dyDescent="0.25">
      <c r="A77" s="18"/>
      <c r="B77" s="19"/>
      <c r="C77" s="28"/>
      <c r="D77" s="21"/>
      <c r="E77" s="20"/>
      <c r="F77" s="21"/>
      <c r="G77" s="20"/>
      <c r="H77" s="21"/>
      <c r="I77" s="69"/>
      <c r="J77" s="21"/>
      <c r="K77" s="20"/>
      <c r="L77" s="21"/>
    </row>
    <row r="78" spans="1:12" s="1" customFormat="1" ht="14.25" x14ac:dyDescent="0.2">
      <c r="A78" s="5" t="s">
        <v>670</v>
      </c>
      <c r="B78" s="7" t="s">
        <v>441</v>
      </c>
      <c r="C78" s="29">
        <v>100000</v>
      </c>
      <c r="D78" s="11">
        <v>0</v>
      </c>
      <c r="E78" s="9">
        <v>25470</v>
      </c>
      <c r="F78" s="11">
        <v>0</v>
      </c>
      <c r="G78" s="9">
        <v>100000</v>
      </c>
      <c r="H78" s="11">
        <v>0</v>
      </c>
      <c r="I78" s="70">
        <v>-30000</v>
      </c>
      <c r="J78" s="11">
        <f t="shared" ref="J78" si="20">C78+I78</f>
        <v>70000</v>
      </c>
      <c r="K78" s="9"/>
      <c r="L78" s="11"/>
    </row>
    <row r="79" spans="1:12" s="1" customFormat="1" ht="14.25" x14ac:dyDescent="0.2">
      <c r="A79" s="5"/>
      <c r="B79" s="7"/>
      <c r="C79" s="29"/>
      <c r="D79" s="11"/>
      <c r="E79" s="9"/>
      <c r="F79" s="11"/>
      <c r="G79" s="9"/>
      <c r="H79" s="11"/>
      <c r="I79" s="70"/>
      <c r="J79" s="11"/>
      <c r="K79" s="9"/>
      <c r="L79" s="11"/>
    </row>
    <row r="80" spans="1:12" s="3" customFormat="1" x14ac:dyDescent="0.25">
      <c r="A80" s="18"/>
      <c r="B80" s="19" t="s">
        <v>471</v>
      </c>
      <c r="C80" s="28">
        <f>SUM(C78:C79)</f>
        <v>100000</v>
      </c>
      <c r="D80" s="36">
        <f t="shared" ref="D80:G80" si="21">SUM(D78:D79)</f>
        <v>0</v>
      </c>
      <c r="E80" s="28">
        <f t="shared" si="21"/>
        <v>25470</v>
      </c>
      <c r="F80" s="36">
        <f t="shared" si="21"/>
        <v>0</v>
      </c>
      <c r="G80" s="28">
        <f t="shared" si="21"/>
        <v>100000</v>
      </c>
      <c r="H80" s="21">
        <v>0</v>
      </c>
      <c r="I80" s="71">
        <f t="shared" ref="I80:L80" si="22">SUM(I78:I79)</f>
        <v>-30000</v>
      </c>
      <c r="J80" s="36">
        <f t="shared" si="22"/>
        <v>70000</v>
      </c>
      <c r="K80" s="28">
        <f t="shared" si="22"/>
        <v>0</v>
      </c>
      <c r="L80" s="36">
        <f t="shared" si="22"/>
        <v>0</v>
      </c>
    </row>
    <row r="81" spans="1:12" s="3" customFormat="1" x14ac:dyDescent="0.25">
      <c r="A81" s="18"/>
      <c r="B81" s="19"/>
      <c r="C81" s="28"/>
      <c r="D81" s="21"/>
      <c r="E81" s="20"/>
      <c r="F81" s="21"/>
      <c r="G81" s="20"/>
      <c r="H81" s="21"/>
      <c r="I81" s="69"/>
      <c r="J81" s="21"/>
      <c r="K81" s="20"/>
      <c r="L81" s="21"/>
    </row>
    <row r="82" spans="1:12" s="3" customFormat="1" x14ac:dyDescent="0.25">
      <c r="A82" s="18"/>
      <c r="B82" s="19" t="s">
        <v>472</v>
      </c>
      <c r="C82" s="28">
        <f>C80</f>
        <v>100000</v>
      </c>
      <c r="D82" s="36">
        <f t="shared" ref="D82:G82" si="23">D80</f>
        <v>0</v>
      </c>
      <c r="E82" s="28">
        <f t="shared" si="23"/>
        <v>25470</v>
      </c>
      <c r="F82" s="36">
        <f t="shared" si="23"/>
        <v>0</v>
      </c>
      <c r="G82" s="28">
        <f t="shared" si="23"/>
        <v>100000</v>
      </c>
      <c r="H82" s="21">
        <v>0</v>
      </c>
      <c r="I82" s="71">
        <f t="shared" ref="I82:L82" si="24">I80</f>
        <v>-30000</v>
      </c>
      <c r="J82" s="36">
        <f t="shared" si="24"/>
        <v>70000</v>
      </c>
      <c r="K82" s="28">
        <f t="shared" si="24"/>
        <v>0</v>
      </c>
      <c r="L82" s="36">
        <f t="shared" si="24"/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>
      <pane xSplit="3" ySplit="10" topLeftCell="F11" activePane="bottomRight" state="frozen"/>
      <selection pane="topRight" activeCell="D1" sqref="D1"/>
      <selection pane="bottomLeft" activeCell="A11" sqref="A11"/>
      <selection pane="bottomRight" activeCell="I22" sqref="I22"/>
    </sheetView>
  </sheetViews>
  <sheetFormatPr defaultRowHeight="15" x14ac:dyDescent="0.25"/>
  <cols>
    <col min="1" max="1" width="18.42578125" bestFit="1" customWidth="1"/>
    <col min="2" max="2" width="56" bestFit="1" customWidth="1"/>
    <col min="3" max="3" width="17.85546875" customWidth="1"/>
    <col min="4" max="4" width="17.42578125" customWidth="1"/>
    <col min="5" max="5" width="15.85546875" customWidth="1"/>
    <col min="6" max="7" width="15.5703125" customWidth="1"/>
    <col min="9" max="9" width="17.140625" style="73" customWidth="1"/>
    <col min="10" max="10" width="16.140625" customWidth="1"/>
    <col min="11" max="11" width="16" customWidth="1"/>
    <col min="12" max="12" width="15.14062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5" t="s">
        <v>7</v>
      </c>
      <c r="I1" s="68" t="s">
        <v>999</v>
      </c>
      <c r="J1" s="17" t="s">
        <v>1000</v>
      </c>
      <c r="K1" s="39" t="s">
        <v>1001</v>
      </c>
      <c r="L1" s="17" t="s">
        <v>1002</v>
      </c>
    </row>
    <row r="2" spans="1:12" s="3" customFormat="1" x14ac:dyDescent="0.25">
      <c r="A2" s="18"/>
      <c r="B2" s="19" t="s">
        <v>671</v>
      </c>
      <c r="C2" s="28"/>
      <c r="D2" s="21"/>
      <c r="E2" s="20"/>
      <c r="F2" s="21"/>
      <c r="G2" s="20"/>
      <c r="H2" s="21"/>
      <c r="I2" s="69"/>
      <c r="J2" s="21"/>
      <c r="K2" s="20"/>
      <c r="L2" s="21"/>
    </row>
    <row r="3" spans="1:12" s="3" customFormat="1" x14ac:dyDescent="0.25">
      <c r="A3" s="18"/>
      <c r="B3" s="19"/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 t="s">
        <v>9</v>
      </c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/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 t="s">
        <v>10</v>
      </c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/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 t="s">
        <v>11</v>
      </c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/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1" customFormat="1" ht="14.25" x14ac:dyDescent="0.2">
      <c r="A10" s="5" t="s">
        <v>672</v>
      </c>
      <c r="B10" s="7" t="s">
        <v>13</v>
      </c>
      <c r="C10" s="29">
        <v>87735</v>
      </c>
      <c r="D10" s="11">
        <v>0</v>
      </c>
      <c r="E10" s="9">
        <v>0</v>
      </c>
      <c r="F10" s="11">
        <v>40645.199999999997</v>
      </c>
      <c r="G10" s="9">
        <f>C10-E10-F10</f>
        <v>47089.8</v>
      </c>
      <c r="H10" s="11">
        <v>46.32</v>
      </c>
      <c r="I10" s="70">
        <v>0</v>
      </c>
      <c r="J10" s="11">
        <f t="shared" ref="J10:J22" si="0">C10+I10</f>
        <v>87735</v>
      </c>
      <c r="K10" s="9">
        <f>J10*6/100+J10</f>
        <v>92999.1</v>
      </c>
      <c r="L10" s="11">
        <f>K10*6/100+K10</f>
        <v>98579.046000000002</v>
      </c>
    </row>
    <row r="11" spans="1:12" s="1" customFormat="1" ht="14.25" x14ac:dyDescent="0.2">
      <c r="A11" s="5" t="s">
        <v>673</v>
      </c>
      <c r="B11" s="7" t="s">
        <v>15</v>
      </c>
      <c r="C11" s="29">
        <v>0</v>
      </c>
      <c r="D11" s="11">
        <v>0</v>
      </c>
      <c r="E11" s="9">
        <v>0</v>
      </c>
      <c r="F11" s="11">
        <v>0</v>
      </c>
      <c r="G11" s="9">
        <f t="shared" ref="G11:G21" si="1">C11-E11-F11</f>
        <v>0</v>
      </c>
      <c r="H11" s="11">
        <v>0</v>
      </c>
      <c r="I11" s="70">
        <v>0</v>
      </c>
      <c r="J11" s="11">
        <f t="shared" si="0"/>
        <v>0</v>
      </c>
      <c r="K11" s="9">
        <f t="shared" ref="K11:L22" si="2">J11*6/100+J11</f>
        <v>0</v>
      </c>
      <c r="L11" s="11">
        <f t="shared" si="2"/>
        <v>0</v>
      </c>
    </row>
    <row r="12" spans="1:12" s="1" customFormat="1" ht="14.25" x14ac:dyDescent="0.2">
      <c r="A12" s="5" t="s">
        <v>674</v>
      </c>
      <c r="B12" s="7" t="s">
        <v>17</v>
      </c>
      <c r="C12" s="29">
        <v>15692</v>
      </c>
      <c r="D12" s="11">
        <v>3109.97</v>
      </c>
      <c r="E12" s="9">
        <v>0</v>
      </c>
      <c r="F12" s="11">
        <v>18659.82</v>
      </c>
      <c r="G12" s="9">
        <f t="shared" si="1"/>
        <v>-2967.8199999999997</v>
      </c>
      <c r="H12" s="11">
        <v>118.91</v>
      </c>
      <c r="I12" s="70">
        <f>C12*69/100</f>
        <v>10827.48</v>
      </c>
      <c r="J12" s="11">
        <f t="shared" si="0"/>
        <v>26519.48</v>
      </c>
      <c r="K12" s="9">
        <f t="shared" si="2"/>
        <v>28110.648799999999</v>
      </c>
      <c r="L12" s="11">
        <f t="shared" si="2"/>
        <v>29797.287727999999</v>
      </c>
    </row>
    <row r="13" spans="1:12" s="1" customFormat="1" ht="14.25" x14ac:dyDescent="0.2">
      <c r="A13" s="5" t="s">
        <v>675</v>
      </c>
      <c r="B13" s="7" t="s">
        <v>19</v>
      </c>
      <c r="C13" s="29">
        <v>400000</v>
      </c>
      <c r="D13" s="11">
        <v>47350.23</v>
      </c>
      <c r="E13" s="9">
        <v>0</v>
      </c>
      <c r="F13" s="11">
        <v>222714.13</v>
      </c>
      <c r="G13" s="9">
        <f t="shared" si="1"/>
        <v>177285.87</v>
      </c>
      <c r="H13" s="11">
        <v>55.67</v>
      </c>
      <c r="I13" s="70">
        <v>30000</v>
      </c>
      <c r="J13" s="11">
        <f t="shared" si="0"/>
        <v>430000</v>
      </c>
      <c r="K13" s="9">
        <f t="shared" si="2"/>
        <v>455800</v>
      </c>
      <c r="L13" s="11">
        <f t="shared" si="2"/>
        <v>483148</v>
      </c>
    </row>
    <row r="14" spans="1:12" s="1" customFormat="1" ht="14.25" x14ac:dyDescent="0.2">
      <c r="A14" s="5" t="s">
        <v>676</v>
      </c>
      <c r="B14" s="7" t="s">
        <v>21</v>
      </c>
      <c r="C14" s="29">
        <v>2000</v>
      </c>
      <c r="D14" s="11">
        <v>6004.54</v>
      </c>
      <c r="E14" s="9">
        <v>0</v>
      </c>
      <c r="F14" s="11">
        <v>9763.2999999999993</v>
      </c>
      <c r="G14" s="9">
        <f t="shared" si="1"/>
        <v>-7763.2999999999993</v>
      </c>
      <c r="H14" s="11">
        <v>488.16</v>
      </c>
      <c r="I14" s="70">
        <v>30000</v>
      </c>
      <c r="J14" s="11">
        <f t="shared" si="0"/>
        <v>32000</v>
      </c>
      <c r="K14" s="9">
        <f t="shared" si="2"/>
        <v>33920</v>
      </c>
      <c r="L14" s="11">
        <f t="shared" si="2"/>
        <v>35955.199999999997</v>
      </c>
    </row>
    <row r="15" spans="1:12" s="1" customFormat="1" ht="14.25" x14ac:dyDescent="0.2">
      <c r="A15" s="5" t="s">
        <v>677</v>
      </c>
      <c r="B15" s="7" t="s">
        <v>22</v>
      </c>
      <c r="C15" s="29">
        <v>0</v>
      </c>
      <c r="D15" s="11">
        <v>0</v>
      </c>
      <c r="E15" s="9">
        <v>0</v>
      </c>
      <c r="F15" s="11">
        <v>0</v>
      </c>
      <c r="G15" s="9">
        <f t="shared" si="1"/>
        <v>0</v>
      </c>
      <c r="H15" s="11">
        <v>0</v>
      </c>
      <c r="I15" s="70">
        <v>0</v>
      </c>
      <c r="J15" s="11">
        <f t="shared" si="0"/>
        <v>0</v>
      </c>
      <c r="K15" s="9">
        <f t="shared" si="2"/>
        <v>0</v>
      </c>
      <c r="L15" s="11">
        <f t="shared" si="2"/>
        <v>0</v>
      </c>
    </row>
    <row r="16" spans="1:12" s="1" customFormat="1" ht="14.25" x14ac:dyDescent="0.2">
      <c r="A16" s="5" t="s">
        <v>678</v>
      </c>
      <c r="B16" s="7" t="s">
        <v>24</v>
      </c>
      <c r="C16" s="29">
        <v>65112</v>
      </c>
      <c r="D16" s="11">
        <v>0</v>
      </c>
      <c r="E16" s="9">
        <v>0</v>
      </c>
      <c r="F16" s="11">
        <v>0</v>
      </c>
      <c r="G16" s="9">
        <f t="shared" si="1"/>
        <v>65112</v>
      </c>
      <c r="H16" s="11">
        <v>0</v>
      </c>
      <c r="I16" s="70">
        <v>0</v>
      </c>
      <c r="J16" s="11">
        <f t="shared" si="0"/>
        <v>65112</v>
      </c>
      <c r="K16" s="9">
        <f t="shared" si="2"/>
        <v>69018.720000000001</v>
      </c>
      <c r="L16" s="11">
        <f t="shared" si="2"/>
        <v>73159.843200000003</v>
      </c>
    </row>
    <row r="17" spans="1:12" s="1" customFormat="1" ht="14.25" x14ac:dyDescent="0.2">
      <c r="A17" s="5" t="s">
        <v>679</v>
      </c>
      <c r="B17" s="7" t="s">
        <v>32</v>
      </c>
      <c r="C17" s="29">
        <v>1052805</v>
      </c>
      <c r="D17" s="11">
        <v>75581.11</v>
      </c>
      <c r="E17" s="9">
        <v>0</v>
      </c>
      <c r="F17" s="11">
        <v>451983.01</v>
      </c>
      <c r="G17" s="9">
        <f t="shared" si="1"/>
        <v>600821.99</v>
      </c>
      <c r="H17" s="11">
        <v>42.93</v>
      </c>
      <c r="I17" s="70">
        <v>0</v>
      </c>
      <c r="J17" s="11">
        <f t="shared" si="0"/>
        <v>1052805</v>
      </c>
      <c r="K17" s="9">
        <f t="shared" si="2"/>
        <v>1115973.3</v>
      </c>
      <c r="L17" s="11">
        <f t="shared" si="2"/>
        <v>1182931.6980000001</v>
      </c>
    </row>
    <row r="18" spans="1:12" s="1" customFormat="1" ht="14.25" x14ac:dyDescent="0.2">
      <c r="A18" s="5" t="s">
        <v>680</v>
      </c>
      <c r="B18" s="7" t="s">
        <v>34</v>
      </c>
      <c r="C18" s="29">
        <v>0</v>
      </c>
      <c r="D18" s="11">
        <v>0</v>
      </c>
      <c r="E18" s="9">
        <v>0</v>
      </c>
      <c r="F18" s="11">
        <v>0</v>
      </c>
      <c r="G18" s="9">
        <f t="shared" si="1"/>
        <v>0</v>
      </c>
      <c r="H18" s="11">
        <v>0</v>
      </c>
      <c r="I18" s="70">
        <v>0</v>
      </c>
      <c r="J18" s="11">
        <f t="shared" si="0"/>
        <v>0</v>
      </c>
      <c r="K18" s="9">
        <f t="shared" si="2"/>
        <v>0</v>
      </c>
      <c r="L18" s="11">
        <f t="shared" si="2"/>
        <v>0</v>
      </c>
    </row>
    <row r="19" spans="1:12" s="1" customFormat="1" ht="14.25" x14ac:dyDescent="0.2">
      <c r="A19" s="5" t="s">
        <v>681</v>
      </c>
      <c r="B19" s="7" t="s">
        <v>36</v>
      </c>
      <c r="C19" s="29">
        <v>139308</v>
      </c>
      <c r="D19" s="11">
        <v>7024.68</v>
      </c>
      <c r="E19" s="9">
        <v>0</v>
      </c>
      <c r="F19" s="11">
        <v>42148.08</v>
      </c>
      <c r="G19" s="9">
        <f t="shared" si="1"/>
        <v>97159.92</v>
      </c>
      <c r="H19" s="11">
        <v>30.25</v>
      </c>
      <c r="I19" s="70">
        <v>0</v>
      </c>
      <c r="J19" s="11">
        <f t="shared" si="0"/>
        <v>139308</v>
      </c>
      <c r="K19" s="9">
        <f t="shared" si="2"/>
        <v>147666.48000000001</v>
      </c>
      <c r="L19" s="11">
        <f t="shared" si="2"/>
        <v>156526.4688</v>
      </c>
    </row>
    <row r="20" spans="1:12" s="1" customFormat="1" ht="14.25" x14ac:dyDescent="0.2">
      <c r="A20" s="5" t="s">
        <v>682</v>
      </c>
      <c r="B20" s="7" t="s">
        <v>44</v>
      </c>
      <c r="C20" s="29">
        <v>0</v>
      </c>
      <c r="D20" s="11">
        <v>0</v>
      </c>
      <c r="E20" s="9">
        <v>0</v>
      </c>
      <c r="F20" s="11">
        <v>0</v>
      </c>
      <c r="G20" s="9">
        <f t="shared" si="1"/>
        <v>0</v>
      </c>
      <c r="H20" s="11">
        <v>0</v>
      </c>
      <c r="I20" s="70">
        <v>0</v>
      </c>
      <c r="J20" s="11">
        <f t="shared" si="0"/>
        <v>0</v>
      </c>
      <c r="K20" s="9">
        <f t="shared" si="2"/>
        <v>0</v>
      </c>
      <c r="L20" s="11">
        <f t="shared" si="2"/>
        <v>0</v>
      </c>
    </row>
    <row r="21" spans="1:12" s="1" customFormat="1" ht="14.25" x14ac:dyDescent="0.2">
      <c r="A21" s="5" t="s">
        <v>683</v>
      </c>
      <c r="B21" s="7" t="s">
        <v>46</v>
      </c>
      <c r="C21" s="29">
        <v>6420</v>
      </c>
      <c r="D21" s="11">
        <v>0</v>
      </c>
      <c r="E21" s="9">
        <v>0</v>
      </c>
      <c r="F21" s="11">
        <v>6000</v>
      </c>
      <c r="G21" s="9">
        <f t="shared" si="1"/>
        <v>420</v>
      </c>
      <c r="H21" s="11">
        <v>93.45</v>
      </c>
      <c r="I21" s="70">
        <v>-420</v>
      </c>
      <c r="J21" s="11">
        <f t="shared" si="0"/>
        <v>6000</v>
      </c>
      <c r="K21" s="9">
        <f t="shared" si="2"/>
        <v>6360</v>
      </c>
      <c r="L21" s="11">
        <f t="shared" si="2"/>
        <v>6741.6</v>
      </c>
    </row>
    <row r="22" spans="1:12" s="1" customFormat="1" ht="14.25" x14ac:dyDescent="0.2">
      <c r="A22" s="5" t="s">
        <v>684</v>
      </c>
      <c r="B22" s="7" t="s">
        <v>48</v>
      </c>
      <c r="C22" s="29">
        <v>0</v>
      </c>
      <c r="D22" s="11">
        <v>0</v>
      </c>
      <c r="E22" s="9">
        <v>0</v>
      </c>
      <c r="F22" s="11">
        <v>0</v>
      </c>
      <c r="G22" s="9">
        <v>0</v>
      </c>
      <c r="H22" s="11">
        <v>0</v>
      </c>
      <c r="I22" s="70">
        <v>0</v>
      </c>
      <c r="J22" s="11">
        <f t="shared" si="0"/>
        <v>0</v>
      </c>
      <c r="K22" s="9">
        <f t="shared" si="2"/>
        <v>0</v>
      </c>
      <c r="L22" s="11">
        <f t="shared" si="2"/>
        <v>0</v>
      </c>
    </row>
    <row r="23" spans="1:12" s="1" customFormat="1" ht="14.25" x14ac:dyDescent="0.2">
      <c r="A23" s="5"/>
      <c r="B23" s="7"/>
      <c r="C23" s="29"/>
      <c r="D23" s="11"/>
      <c r="E23" s="9"/>
      <c r="F23" s="11"/>
      <c r="G23" s="9"/>
      <c r="H23" s="11"/>
      <c r="I23" s="70"/>
      <c r="J23" s="11"/>
      <c r="K23" s="9"/>
      <c r="L23" s="11"/>
    </row>
    <row r="24" spans="1:12" s="3" customFormat="1" x14ac:dyDescent="0.25">
      <c r="A24" s="18"/>
      <c r="B24" s="19" t="s">
        <v>49</v>
      </c>
      <c r="C24" s="28">
        <f>SUM(C10:C22)</f>
        <v>1769072</v>
      </c>
      <c r="D24" s="36">
        <f t="shared" ref="D24:G24" si="3">SUM(D10:D22)</f>
        <v>139070.53</v>
      </c>
      <c r="E24" s="28">
        <f t="shared" si="3"/>
        <v>0</v>
      </c>
      <c r="F24" s="36">
        <f t="shared" si="3"/>
        <v>791913.53999999992</v>
      </c>
      <c r="G24" s="28">
        <f t="shared" si="3"/>
        <v>977158.46000000008</v>
      </c>
      <c r="H24" s="21">
        <v>44.76</v>
      </c>
      <c r="I24" s="71">
        <f t="shared" ref="I24:L24" si="4">SUM(I10:I22)</f>
        <v>70407.48</v>
      </c>
      <c r="J24" s="36">
        <f t="shared" si="4"/>
        <v>1839479.48</v>
      </c>
      <c r="K24" s="28">
        <f t="shared" si="4"/>
        <v>1949848.2487999999</v>
      </c>
      <c r="L24" s="36">
        <f t="shared" si="4"/>
        <v>2066839.1437280001</v>
      </c>
    </row>
    <row r="25" spans="1:12" s="3" customFormat="1" x14ac:dyDescent="0.25">
      <c r="A25" s="18"/>
      <c r="B25" s="19"/>
      <c r="C25" s="28"/>
      <c r="D25" s="21"/>
      <c r="E25" s="20"/>
      <c r="F25" s="21"/>
      <c r="G25" s="20"/>
      <c r="H25" s="21"/>
      <c r="I25" s="69"/>
      <c r="J25" s="21"/>
      <c r="K25" s="20"/>
      <c r="L25" s="21"/>
    </row>
    <row r="26" spans="1:12" s="3" customFormat="1" x14ac:dyDescent="0.25">
      <c r="A26" s="18"/>
      <c r="B26" s="19" t="s">
        <v>50</v>
      </c>
      <c r="C26" s="28"/>
      <c r="D26" s="21"/>
      <c r="E26" s="20"/>
      <c r="F26" s="21"/>
      <c r="G26" s="20"/>
      <c r="H26" s="21"/>
      <c r="I26" s="69"/>
      <c r="J26" s="21"/>
      <c r="K26" s="20"/>
      <c r="L26" s="21"/>
    </row>
    <row r="27" spans="1:12" s="3" customFormat="1" x14ac:dyDescent="0.25">
      <c r="A27" s="18"/>
      <c r="B27" s="19"/>
      <c r="C27" s="28"/>
      <c r="D27" s="21"/>
      <c r="E27" s="20"/>
      <c r="F27" s="21"/>
      <c r="G27" s="20"/>
      <c r="H27" s="21"/>
      <c r="I27" s="69"/>
      <c r="J27" s="21"/>
      <c r="K27" s="20"/>
      <c r="L27" s="21"/>
    </row>
    <row r="28" spans="1:12" s="1" customFormat="1" ht="14.25" x14ac:dyDescent="0.2">
      <c r="A28" s="5" t="s">
        <v>685</v>
      </c>
      <c r="B28" s="7" t="s">
        <v>53</v>
      </c>
      <c r="C28" s="29">
        <v>381</v>
      </c>
      <c r="D28" s="11">
        <v>29</v>
      </c>
      <c r="E28" s="9">
        <v>0</v>
      </c>
      <c r="F28" s="11">
        <v>174</v>
      </c>
      <c r="G28" s="9">
        <v>207</v>
      </c>
      <c r="H28" s="11">
        <v>45.66</v>
      </c>
      <c r="I28" s="70">
        <v>0</v>
      </c>
      <c r="J28" s="11">
        <f t="shared" ref="J28:J33" si="5">C28+I28</f>
        <v>381</v>
      </c>
      <c r="K28" s="9">
        <f t="shared" ref="K28:L28" si="6">J28*6/100+J28</f>
        <v>403.86</v>
      </c>
      <c r="L28" s="11">
        <f t="shared" si="6"/>
        <v>428.09160000000003</v>
      </c>
    </row>
    <row r="29" spans="1:12" s="1" customFormat="1" ht="14.25" x14ac:dyDescent="0.2">
      <c r="A29" s="5" t="s">
        <v>686</v>
      </c>
      <c r="B29" s="7" t="s">
        <v>55</v>
      </c>
      <c r="C29" s="29">
        <v>8201</v>
      </c>
      <c r="D29" s="11">
        <v>594.88</v>
      </c>
      <c r="E29" s="9">
        <v>0</v>
      </c>
      <c r="F29" s="11">
        <v>3402.46</v>
      </c>
      <c r="G29" s="9">
        <v>4798.54</v>
      </c>
      <c r="H29" s="11">
        <v>41.48</v>
      </c>
      <c r="I29" s="70">
        <v>0</v>
      </c>
      <c r="J29" s="11">
        <f t="shared" si="5"/>
        <v>8201</v>
      </c>
      <c r="K29" s="9">
        <f t="shared" ref="K29:L29" si="7">J29*6/100+J29</f>
        <v>8693.06</v>
      </c>
      <c r="L29" s="11">
        <f t="shared" si="7"/>
        <v>9214.6435999999994</v>
      </c>
    </row>
    <row r="30" spans="1:12" s="1" customFormat="1" ht="14.25" x14ac:dyDescent="0.2">
      <c r="A30" s="5" t="s">
        <v>687</v>
      </c>
      <c r="B30" s="7" t="s">
        <v>57</v>
      </c>
      <c r="C30" s="29">
        <v>33595</v>
      </c>
      <c r="D30" s="11">
        <v>4204.8</v>
      </c>
      <c r="E30" s="9">
        <v>0</v>
      </c>
      <c r="F30" s="11">
        <v>25228.799999999999</v>
      </c>
      <c r="G30" s="9">
        <v>8366.2000000000007</v>
      </c>
      <c r="H30" s="11">
        <v>75.09</v>
      </c>
      <c r="I30" s="70">
        <f>C30*30/100</f>
        <v>10078.5</v>
      </c>
      <c r="J30" s="11">
        <f t="shared" si="5"/>
        <v>43673.5</v>
      </c>
      <c r="K30" s="9">
        <f t="shared" ref="K30:L30" si="8">J30*6/100+J30</f>
        <v>46293.91</v>
      </c>
      <c r="L30" s="11">
        <f t="shared" si="8"/>
        <v>49071.544600000001</v>
      </c>
    </row>
    <row r="31" spans="1:12" s="1" customFormat="1" ht="14.25" x14ac:dyDescent="0.2">
      <c r="A31" s="5" t="s">
        <v>688</v>
      </c>
      <c r="B31" s="7" t="s">
        <v>59</v>
      </c>
      <c r="C31" s="29">
        <v>231617</v>
      </c>
      <c r="D31" s="11">
        <v>14389.65</v>
      </c>
      <c r="E31" s="9">
        <v>0</v>
      </c>
      <c r="F31" s="11">
        <v>86067.199999999997</v>
      </c>
      <c r="G31" s="9">
        <v>145549.79999999999</v>
      </c>
      <c r="H31" s="11">
        <v>37.15</v>
      </c>
      <c r="I31" s="70">
        <v>0</v>
      </c>
      <c r="J31" s="11">
        <f t="shared" si="5"/>
        <v>231617</v>
      </c>
      <c r="K31" s="9">
        <f t="shared" ref="K31:L31" si="9">J31*6/100+J31</f>
        <v>245514.02</v>
      </c>
      <c r="L31" s="11">
        <f t="shared" si="9"/>
        <v>260244.86119999998</v>
      </c>
    </row>
    <row r="32" spans="1:12" s="1" customFormat="1" ht="14.25" x14ac:dyDescent="0.2">
      <c r="A32" s="5" t="s">
        <v>689</v>
      </c>
      <c r="B32" s="7" t="s">
        <v>60</v>
      </c>
      <c r="C32" s="29">
        <v>0</v>
      </c>
      <c r="D32" s="11">
        <v>0</v>
      </c>
      <c r="E32" s="9">
        <v>0</v>
      </c>
      <c r="F32" s="11">
        <v>0</v>
      </c>
      <c r="G32" s="9">
        <v>0</v>
      </c>
      <c r="H32" s="11">
        <v>0</v>
      </c>
      <c r="I32" s="70">
        <v>0</v>
      </c>
      <c r="J32" s="11">
        <f t="shared" si="5"/>
        <v>0</v>
      </c>
      <c r="K32" s="9">
        <f t="shared" ref="K32:L32" si="10">J32*6/100+J32</f>
        <v>0</v>
      </c>
      <c r="L32" s="11">
        <f t="shared" si="10"/>
        <v>0</v>
      </c>
    </row>
    <row r="33" spans="1:12" s="1" customFormat="1" ht="14.25" x14ac:dyDescent="0.2">
      <c r="A33" s="5" t="s">
        <v>690</v>
      </c>
      <c r="B33" s="7" t="s">
        <v>62</v>
      </c>
      <c r="C33" s="29">
        <v>21056</v>
      </c>
      <c r="D33" s="11">
        <v>6207.56</v>
      </c>
      <c r="E33" s="9">
        <v>0</v>
      </c>
      <c r="F33" s="11">
        <v>37133.1</v>
      </c>
      <c r="G33" s="9">
        <v>-16077.1</v>
      </c>
      <c r="H33" s="11">
        <v>176.35</v>
      </c>
      <c r="I33" s="70">
        <v>0</v>
      </c>
      <c r="J33" s="11">
        <f t="shared" si="5"/>
        <v>21056</v>
      </c>
      <c r="K33" s="9">
        <f t="shared" ref="K33:L33" si="11">J33*6/100+J33</f>
        <v>22319.360000000001</v>
      </c>
      <c r="L33" s="11">
        <f t="shared" si="11"/>
        <v>23658.5216</v>
      </c>
    </row>
    <row r="34" spans="1:12" s="1" customFormat="1" ht="14.25" x14ac:dyDescent="0.2">
      <c r="A34" s="5"/>
      <c r="B34" s="7"/>
      <c r="C34" s="29"/>
      <c r="D34" s="11"/>
      <c r="E34" s="9"/>
      <c r="F34" s="11"/>
      <c r="G34" s="9"/>
      <c r="H34" s="11"/>
      <c r="I34" s="70"/>
      <c r="J34" s="11"/>
      <c r="K34" s="9"/>
      <c r="L34" s="11"/>
    </row>
    <row r="35" spans="1:12" s="3" customFormat="1" x14ac:dyDescent="0.25">
      <c r="A35" s="18"/>
      <c r="B35" s="19" t="s">
        <v>63</v>
      </c>
      <c r="C35" s="28">
        <f>SUM(C28:C34)</f>
        <v>294850</v>
      </c>
      <c r="D35" s="36">
        <f t="shared" ref="D35:G35" si="12">SUM(D28:D34)</f>
        <v>25425.890000000003</v>
      </c>
      <c r="E35" s="28">
        <f t="shared" si="12"/>
        <v>0</v>
      </c>
      <c r="F35" s="36">
        <f t="shared" si="12"/>
        <v>152005.56</v>
      </c>
      <c r="G35" s="28">
        <f t="shared" si="12"/>
        <v>142844.43999999997</v>
      </c>
      <c r="H35" s="21">
        <v>51.55</v>
      </c>
      <c r="I35" s="71">
        <f t="shared" ref="I35:L35" si="13">SUM(I28:I34)</f>
        <v>10078.5</v>
      </c>
      <c r="J35" s="36">
        <f t="shared" si="13"/>
        <v>304928.5</v>
      </c>
      <c r="K35" s="28">
        <f t="shared" si="13"/>
        <v>323224.20999999996</v>
      </c>
      <c r="L35" s="36">
        <f t="shared" si="13"/>
        <v>342617.66259999998</v>
      </c>
    </row>
    <row r="36" spans="1:12" s="3" customFormat="1" x14ac:dyDescent="0.25">
      <c r="A36" s="18"/>
      <c r="B36" s="19"/>
      <c r="C36" s="28"/>
      <c r="D36" s="21"/>
      <c r="E36" s="20"/>
      <c r="F36" s="21"/>
      <c r="G36" s="20"/>
      <c r="H36" s="21"/>
      <c r="I36" s="69"/>
      <c r="J36" s="21"/>
      <c r="K36" s="20"/>
      <c r="L36" s="21"/>
    </row>
    <row r="37" spans="1:12" s="3" customFormat="1" x14ac:dyDescent="0.25">
      <c r="A37" s="18"/>
      <c r="B37" s="19" t="s">
        <v>65</v>
      </c>
      <c r="C37" s="28"/>
      <c r="D37" s="21"/>
      <c r="E37" s="20"/>
      <c r="F37" s="21"/>
      <c r="G37" s="20"/>
      <c r="H37" s="21"/>
      <c r="I37" s="69"/>
      <c r="J37" s="21"/>
      <c r="K37" s="20"/>
      <c r="L37" s="21"/>
    </row>
    <row r="38" spans="1:12" s="3" customFormat="1" x14ac:dyDescent="0.25">
      <c r="A38" s="18"/>
      <c r="B38" s="19"/>
      <c r="C38" s="28"/>
      <c r="D38" s="21"/>
      <c r="E38" s="20"/>
      <c r="F38" s="21"/>
      <c r="G38" s="20"/>
      <c r="H38" s="21"/>
      <c r="I38" s="69"/>
      <c r="J38" s="21"/>
      <c r="K38" s="20"/>
      <c r="L38" s="21"/>
    </row>
    <row r="39" spans="1:12" s="1" customFormat="1" ht="14.25" x14ac:dyDescent="0.2">
      <c r="A39" s="5" t="s">
        <v>691</v>
      </c>
      <c r="B39" s="7" t="s">
        <v>67</v>
      </c>
      <c r="C39" s="29">
        <v>7696972</v>
      </c>
      <c r="D39" s="11">
        <v>436880.27</v>
      </c>
      <c r="E39" s="33">
        <v>0</v>
      </c>
      <c r="F39" s="11">
        <v>2621281.62</v>
      </c>
      <c r="G39" s="9">
        <f>C39-E39-F39</f>
        <v>5075690.38</v>
      </c>
      <c r="H39" s="11">
        <v>34.049999999999997</v>
      </c>
      <c r="I39" s="70">
        <v>0</v>
      </c>
      <c r="J39" s="11">
        <f t="shared" ref="J39:J41" si="14">C39+I39</f>
        <v>7696972</v>
      </c>
      <c r="K39" s="9">
        <f>J39*6/100+J39</f>
        <v>8158790.3200000003</v>
      </c>
      <c r="L39" s="11">
        <f>K39*6/100+K39</f>
        <v>8648317.7391999997</v>
      </c>
    </row>
    <row r="40" spans="1:12" s="1" customFormat="1" ht="14.25" x14ac:dyDescent="0.2">
      <c r="A40" s="5" t="s">
        <v>692</v>
      </c>
      <c r="B40" s="7" t="s">
        <v>69</v>
      </c>
      <c r="C40" s="29">
        <v>625205</v>
      </c>
      <c r="D40" s="11">
        <v>55053</v>
      </c>
      <c r="E40" s="9">
        <v>0</v>
      </c>
      <c r="F40" s="11">
        <v>330318</v>
      </c>
      <c r="G40" s="9">
        <f t="shared" ref="G40:G41" si="15">C40-E40-F40</f>
        <v>294887</v>
      </c>
      <c r="H40" s="11">
        <v>52.83</v>
      </c>
      <c r="I40" s="70">
        <v>0</v>
      </c>
      <c r="J40" s="11">
        <f t="shared" si="14"/>
        <v>625205</v>
      </c>
      <c r="K40" s="9">
        <f t="shared" ref="K40:L41" si="16">J40*6/100+J40</f>
        <v>662717.30000000005</v>
      </c>
      <c r="L40" s="11">
        <f t="shared" si="16"/>
        <v>702480.33799999999</v>
      </c>
    </row>
    <row r="41" spans="1:12" s="1" customFormat="1" ht="14.25" x14ac:dyDescent="0.2">
      <c r="A41" s="5" t="s">
        <v>693</v>
      </c>
      <c r="B41" s="7" t="s">
        <v>71</v>
      </c>
      <c r="C41" s="29">
        <v>1924243</v>
      </c>
      <c r="D41" s="11">
        <v>145626.79999999999</v>
      </c>
      <c r="E41" s="9">
        <v>0</v>
      </c>
      <c r="F41" s="11">
        <v>873760.8</v>
      </c>
      <c r="G41" s="9">
        <f t="shared" si="15"/>
        <v>1050482.2</v>
      </c>
      <c r="H41" s="11">
        <v>45.4</v>
      </c>
      <c r="I41" s="70">
        <v>0</v>
      </c>
      <c r="J41" s="11">
        <f t="shared" si="14"/>
        <v>1924243</v>
      </c>
      <c r="K41" s="9">
        <f t="shared" si="16"/>
        <v>2039697.58</v>
      </c>
      <c r="L41" s="11">
        <f t="shared" si="16"/>
        <v>2162079.4347999999</v>
      </c>
    </row>
    <row r="42" spans="1:12" s="1" customFormat="1" ht="14.25" x14ac:dyDescent="0.2">
      <c r="A42" s="5"/>
      <c r="B42" s="7"/>
      <c r="C42" s="29"/>
      <c r="D42" s="11"/>
      <c r="E42" s="9"/>
      <c r="F42" s="11"/>
      <c r="G42" s="9"/>
      <c r="H42" s="11"/>
      <c r="I42" s="70"/>
      <c r="J42" s="11"/>
      <c r="K42" s="9"/>
      <c r="L42" s="11"/>
    </row>
    <row r="43" spans="1:12" s="3" customFormat="1" x14ac:dyDescent="0.25">
      <c r="A43" s="18"/>
      <c r="B43" s="19" t="s">
        <v>72</v>
      </c>
      <c r="C43" s="28">
        <f>SUM(C39:C42)</f>
        <v>10246420</v>
      </c>
      <c r="D43" s="36">
        <f t="shared" ref="D43:G43" si="17">SUM(D39:D42)</f>
        <v>637560.07000000007</v>
      </c>
      <c r="E43" s="28">
        <f t="shared" si="17"/>
        <v>0</v>
      </c>
      <c r="F43" s="36">
        <f t="shared" si="17"/>
        <v>3825360.42</v>
      </c>
      <c r="G43" s="28">
        <f t="shared" si="17"/>
        <v>6421059.5800000001</v>
      </c>
      <c r="H43" s="21">
        <v>37.33</v>
      </c>
      <c r="I43" s="71">
        <f t="shared" ref="I43:L43" si="18">SUM(I39:I42)</f>
        <v>0</v>
      </c>
      <c r="J43" s="36">
        <f t="shared" si="18"/>
        <v>10246420</v>
      </c>
      <c r="K43" s="28">
        <f t="shared" si="18"/>
        <v>10861205.200000001</v>
      </c>
      <c r="L43" s="36">
        <f t="shared" si="18"/>
        <v>11512877.511999998</v>
      </c>
    </row>
    <row r="44" spans="1:12" s="3" customFormat="1" x14ac:dyDescent="0.25">
      <c r="A44" s="18"/>
      <c r="B44" s="19"/>
      <c r="C44" s="28"/>
      <c r="D44" s="21"/>
      <c r="E44" s="20"/>
      <c r="F44" s="21"/>
      <c r="G44" s="20"/>
      <c r="H44" s="21"/>
      <c r="I44" s="69"/>
      <c r="J44" s="21"/>
      <c r="K44" s="20"/>
      <c r="L44" s="21"/>
    </row>
    <row r="45" spans="1:12" s="3" customFormat="1" x14ac:dyDescent="0.25">
      <c r="A45" s="18"/>
      <c r="B45" s="19" t="s">
        <v>73</v>
      </c>
      <c r="C45" s="28">
        <f>C24+C35+C43</f>
        <v>12310342</v>
      </c>
      <c r="D45" s="36">
        <f t="shared" ref="D45:L45" si="19">D24+D35+D43</f>
        <v>802056.49000000011</v>
      </c>
      <c r="E45" s="28">
        <f t="shared" si="19"/>
        <v>0</v>
      </c>
      <c r="F45" s="36">
        <f t="shared" si="19"/>
        <v>4769279.5199999996</v>
      </c>
      <c r="G45" s="28">
        <f t="shared" si="19"/>
        <v>7541062.4800000004</v>
      </c>
      <c r="H45" s="21">
        <v>38.74</v>
      </c>
      <c r="I45" s="71">
        <f t="shared" si="19"/>
        <v>80485.98</v>
      </c>
      <c r="J45" s="36">
        <f t="shared" si="19"/>
        <v>12390827.98</v>
      </c>
      <c r="K45" s="28">
        <f t="shared" si="19"/>
        <v>13134277.658800002</v>
      </c>
      <c r="L45" s="36">
        <f t="shared" si="19"/>
        <v>13922334.318327999</v>
      </c>
    </row>
    <row r="46" spans="1:12" s="3" customFormat="1" x14ac:dyDescent="0.25">
      <c r="A46" s="18"/>
      <c r="B46" s="19"/>
      <c r="C46" s="28"/>
      <c r="D46" s="21"/>
      <c r="E46" s="20"/>
      <c r="F46" s="21"/>
      <c r="G46" s="20"/>
      <c r="H46" s="21"/>
      <c r="I46" s="69"/>
      <c r="J46" s="21"/>
      <c r="K46" s="20"/>
      <c r="L46" s="21"/>
    </row>
    <row r="47" spans="1:12" s="3" customFormat="1" x14ac:dyDescent="0.25">
      <c r="A47" s="18"/>
      <c r="B47" s="19" t="s">
        <v>74</v>
      </c>
      <c r="C47" s="28"/>
      <c r="D47" s="21"/>
      <c r="E47" s="20"/>
      <c r="F47" s="21"/>
      <c r="G47" s="20"/>
      <c r="H47" s="21"/>
      <c r="I47" s="69"/>
      <c r="J47" s="21"/>
      <c r="K47" s="20"/>
      <c r="L47" s="21"/>
    </row>
    <row r="48" spans="1:12" s="3" customFormat="1" x14ac:dyDescent="0.25">
      <c r="A48" s="18"/>
      <c r="B48" s="19"/>
      <c r="C48" s="28"/>
      <c r="D48" s="21"/>
      <c r="E48" s="20"/>
      <c r="F48" s="21"/>
      <c r="G48" s="20"/>
      <c r="H48" s="21"/>
      <c r="I48" s="69"/>
      <c r="J48" s="21"/>
      <c r="K48" s="20"/>
      <c r="L48" s="21"/>
    </row>
    <row r="49" spans="1:12" s="3" customFormat="1" x14ac:dyDescent="0.25">
      <c r="A49" s="18"/>
      <c r="B49" s="19" t="s">
        <v>75</v>
      </c>
      <c r="C49" s="28"/>
      <c r="D49" s="21"/>
      <c r="E49" s="20"/>
      <c r="F49" s="21"/>
      <c r="G49" s="20"/>
      <c r="H49" s="21"/>
      <c r="I49" s="69"/>
      <c r="J49" s="21"/>
      <c r="K49" s="20"/>
      <c r="L49" s="21"/>
    </row>
    <row r="50" spans="1:12" s="3" customFormat="1" x14ac:dyDescent="0.25">
      <c r="A50" s="18"/>
      <c r="B50" s="19"/>
      <c r="C50" s="28"/>
      <c r="D50" s="21"/>
      <c r="E50" s="20"/>
      <c r="F50" s="21"/>
      <c r="G50" s="20"/>
      <c r="H50" s="21"/>
      <c r="I50" s="69"/>
      <c r="J50" s="21"/>
      <c r="K50" s="20"/>
      <c r="L50" s="21"/>
    </row>
    <row r="51" spans="1:12" s="1" customFormat="1" ht="14.25" x14ac:dyDescent="0.2">
      <c r="A51" s="5" t="s">
        <v>694</v>
      </c>
      <c r="B51" s="7" t="s">
        <v>77</v>
      </c>
      <c r="C51" s="29">
        <v>450000</v>
      </c>
      <c r="D51" s="11">
        <v>0</v>
      </c>
      <c r="E51" s="9">
        <v>23208.53</v>
      </c>
      <c r="F51" s="11">
        <v>70939.13</v>
      </c>
      <c r="G51" s="9">
        <f>C51-E51-F51</f>
        <v>355852.33999999997</v>
      </c>
      <c r="H51" s="11">
        <v>15.76</v>
      </c>
      <c r="I51" s="70">
        <v>-100000</v>
      </c>
      <c r="J51" s="11">
        <f t="shared" ref="J51:J59" si="20">C51+I51</f>
        <v>350000</v>
      </c>
      <c r="K51" s="9">
        <f t="shared" ref="K51:L51" si="21">J51*6/100+J51</f>
        <v>371000</v>
      </c>
      <c r="L51" s="11">
        <f t="shared" si="21"/>
        <v>393260</v>
      </c>
    </row>
    <row r="52" spans="1:12" s="1" customFormat="1" ht="14.25" x14ac:dyDescent="0.2">
      <c r="A52" s="5" t="s">
        <v>695</v>
      </c>
      <c r="B52" s="7" t="s">
        <v>170</v>
      </c>
      <c r="C52" s="29">
        <v>52900</v>
      </c>
      <c r="D52" s="11">
        <v>0</v>
      </c>
      <c r="E52" s="9">
        <v>0</v>
      </c>
      <c r="F52" s="11">
        <v>36129.01</v>
      </c>
      <c r="G52" s="9">
        <f t="shared" ref="G52:G59" si="22">C52-E52-F52</f>
        <v>16770.989999999998</v>
      </c>
      <c r="H52" s="11">
        <v>68.290000000000006</v>
      </c>
      <c r="I52" s="70">
        <v>0</v>
      </c>
      <c r="J52" s="11">
        <f t="shared" si="20"/>
        <v>52900</v>
      </c>
      <c r="K52" s="9">
        <f t="shared" ref="K52:L52" si="23">J52*6/100+J52</f>
        <v>56074</v>
      </c>
      <c r="L52" s="11">
        <f t="shared" si="23"/>
        <v>59438.44</v>
      </c>
    </row>
    <row r="53" spans="1:12" s="1" customFormat="1" ht="14.25" x14ac:dyDescent="0.2">
      <c r="A53" s="5" t="s">
        <v>696</v>
      </c>
      <c r="B53" s="7" t="s">
        <v>179</v>
      </c>
      <c r="C53" s="29">
        <v>88957</v>
      </c>
      <c r="D53" s="11">
        <v>0</v>
      </c>
      <c r="E53" s="9">
        <v>0</v>
      </c>
      <c r="F53" s="11">
        <v>3900</v>
      </c>
      <c r="G53" s="9">
        <f t="shared" si="22"/>
        <v>85057</v>
      </c>
      <c r="H53" s="11">
        <v>4.38</v>
      </c>
      <c r="I53" s="70">
        <v>-50000</v>
      </c>
      <c r="J53" s="11">
        <f t="shared" si="20"/>
        <v>38957</v>
      </c>
      <c r="K53" s="9">
        <f t="shared" ref="K53:L53" si="24">J53*6/100+J53</f>
        <v>41294.42</v>
      </c>
      <c r="L53" s="11">
        <f t="shared" si="24"/>
        <v>43772.085200000001</v>
      </c>
    </row>
    <row r="54" spans="1:12" s="1" customFormat="1" ht="14.25" x14ac:dyDescent="0.2">
      <c r="A54" s="5" t="s">
        <v>697</v>
      </c>
      <c r="B54" s="7" t="s">
        <v>698</v>
      </c>
      <c r="C54" s="29">
        <v>41187</v>
      </c>
      <c r="D54" s="11">
        <v>0</v>
      </c>
      <c r="E54" s="9">
        <v>0</v>
      </c>
      <c r="F54" s="11">
        <v>0</v>
      </c>
      <c r="G54" s="9">
        <f t="shared" si="22"/>
        <v>41187</v>
      </c>
      <c r="H54" s="11">
        <v>0</v>
      </c>
      <c r="I54" s="70">
        <v>-40000</v>
      </c>
      <c r="J54" s="11">
        <f t="shared" si="20"/>
        <v>1187</v>
      </c>
      <c r="K54" s="9">
        <f t="shared" ref="K54:L54" si="25">J54*6/100+J54</f>
        <v>1258.22</v>
      </c>
      <c r="L54" s="11">
        <f t="shared" si="25"/>
        <v>1333.7132000000001</v>
      </c>
    </row>
    <row r="55" spans="1:12" s="1" customFormat="1" ht="14.25" x14ac:dyDescent="0.2">
      <c r="A55" s="5" t="s">
        <v>699</v>
      </c>
      <c r="B55" s="7" t="s">
        <v>211</v>
      </c>
      <c r="C55" s="29">
        <v>2000</v>
      </c>
      <c r="D55" s="11">
        <v>0</v>
      </c>
      <c r="E55" s="9">
        <v>0</v>
      </c>
      <c r="F55" s="11">
        <v>1976</v>
      </c>
      <c r="G55" s="9">
        <f t="shared" si="22"/>
        <v>24</v>
      </c>
      <c r="H55" s="11">
        <v>98.8</v>
      </c>
      <c r="I55" s="70">
        <v>0</v>
      </c>
      <c r="J55" s="11">
        <f t="shared" si="20"/>
        <v>2000</v>
      </c>
      <c r="K55" s="9">
        <f t="shared" ref="K55:L55" si="26">J55*6/100+J55</f>
        <v>2120</v>
      </c>
      <c r="L55" s="11">
        <f t="shared" si="26"/>
        <v>2247.1999999999998</v>
      </c>
    </row>
    <row r="56" spans="1:12" s="1" customFormat="1" ht="14.25" x14ac:dyDescent="0.2">
      <c r="A56" s="5" t="s">
        <v>700</v>
      </c>
      <c r="B56" s="7" t="s">
        <v>213</v>
      </c>
      <c r="C56" s="29">
        <v>2000</v>
      </c>
      <c r="D56" s="11">
        <v>0</v>
      </c>
      <c r="E56" s="9">
        <v>0</v>
      </c>
      <c r="F56" s="11">
        <v>1944</v>
      </c>
      <c r="G56" s="9">
        <f t="shared" si="22"/>
        <v>56</v>
      </c>
      <c r="H56" s="11">
        <v>97.2</v>
      </c>
      <c r="I56" s="70">
        <v>0</v>
      </c>
      <c r="J56" s="11">
        <f t="shared" si="20"/>
        <v>2000</v>
      </c>
      <c r="K56" s="9">
        <f t="shared" ref="K56:L56" si="27">J56*6/100+J56</f>
        <v>2120</v>
      </c>
      <c r="L56" s="11">
        <f t="shared" si="27"/>
        <v>2247.1999999999998</v>
      </c>
    </row>
    <row r="57" spans="1:12" s="1" customFormat="1" ht="14.25" x14ac:dyDescent="0.2">
      <c r="A57" s="5" t="s">
        <v>701</v>
      </c>
      <c r="B57" s="7" t="s">
        <v>215</v>
      </c>
      <c r="C57" s="29">
        <v>2000</v>
      </c>
      <c r="D57" s="11">
        <v>0</v>
      </c>
      <c r="E57" s="9">
        <v>0</v>
      </c>
      <c r="F57" s="11">
        <v>1944</v>
      </c>
      <c r="G57" s="9">
        <f t="shared" si="22"/>
        <v>56</v>
      </c>
      <c r="H57" s="11">
        <v>97.2</v>
      </c>
      <c r="I57" s="70">
        <v>0</v>
      </c>
      <c r="J57" s="11">
        <f t="shared" si="20"/>
        <v>2000</v>
      </c>
      <c r="K57" s="9">
        <f t="shared" ref="K57:L57" si="28">J57*6/100+J57</f>
        <v>2120</v>
      </c>
      <c r="L57" s="11">
        <f t="shared" si="28"/>
        <v>2247.1999999999998</v>
      </c>
    </row>
    <row r="58" spans="1:12" s="1" customFormat="1" ht="14.25" x14ac:dyDescent="0.2">
      <c r="A58" s="5" t="s">
        <v>702</v>
      </c>
      <c r="B58" s="7" t="s">
        <v>238</v>
      </c>
      <c r="C58" s="29">
        <v>250000</v>
      </c>
      <c r="D58" s="11">
        <v>51561.14</v>
      </c>
      <c r="E58" s="9">
        <v>20400</v>
      </c>
      <c r="F58" s="11">
        <v>124227.14</v>
      </c>
      <c r="G58" s="9">
        <f t="shared" si="22"/>
        <v>105372.86</v>
      </c>
      <c r="H58" s="11">
        <v>49.69</v>
      </c>
      <c r="I58" s="70">
        <v>189771</v>
      </c>
      <c r="J58" s="11">
        <f t="shared" si="20"/>
        <v>439771</v>
      </c>
      <c r="K58" s="9">
        <f t="shared" ref="K58:L58" si="29">J58*6/100+J58</f>
        <v>466157.26</v>
      </c>
      <c r="L58" s="11">
        <f t="shared" si="29"/>
        <v>494126.69560000004</v>
      </c>
    </row>
    <row r="59" spans="1:12" s="1" customFormat="1" ht="14.25" x14ac:dyDescent="0.2">
      <c r="A59" s="5" t="s">
        <v>703</v>
      </c>
      <c r="B59" s="7" t="s">
        <v>262</v>
      </c>
      <c r="C59" s="29">
        <v>15000</v>
      </c>
      <c r="D59" s="11">
        <v>0</v>
      </c>
      <c r="E59" s="9">
        <v>0</v>
      </c>
      <c r="F59" s="11">
        <v>8206.68</v>
      </c>
      <c r="G59" s="9">
        <f t="shared" si="22"/>
        <v>6793.32</v>
      </c>
      <c r="H59" s="11">
        <v>54.71</v>
      </c>
      <c r="I59" s="70">
        <v>0</v>
      </c>
      <c r="J59" s="11">
        <f t="shared" si="20"/>
        <v>15000</v>
      </c>
      <c r="K59" s="9">
        <f t="shared" ref="K59:L59" si="30">J59*6/100+J59</f>
        <v>15900</v>
      </c>
      <c r="L59" s="11">
        <f t="shared" si="30"/>
        <v>16854</v>
      </c>
    </row>
    <row r="60" spans="1:12" s="1" customFormat="1" ht="14.25" x14ac:dyDescent="0.2">
      <c r="A60" s="5"/>
      <c r="B60" s="7"/>
      <c r="C60" s="29"/>
      <c r="D60" s="11"/>
      <c r="E60" s="9"/>
      <c r="F60" s="11"/>
      <c r="G60" s="9"/>
      <c r="H60" s="11"/>
      <c r="I60" s="70"/>
      <c r="J60" s="11"/>
      <c r="K60" s="9"/>
      <c r="L60" s="11"/>
    </row>
    <row r="61" spans="1:12" s="3" customFormat="1" x14ac:dyDescent="0.25">
      <c r="A61" s="18"/>
      <c r="B61" s="19" t="s">
        <v>287</v>
      </c>
      <c r="C61" s="28">
        <f>SUM(C51:C60)</f>
        <v>904044</v>
      </c>
      <c r="D61" s="36">
        <f t="shared" ref="D61:G61" si="31">SUM(D51:D60)</f>
        <v>51561.14</v>
      </c>
      <c r="E61" s="28">
        <f t="shared" si="31"/>
        <v>43608.53</v>
      </c>
      <c r="F61" s="36">
        <f t="shared" si="31"/>
        <v>249265.96000000002</v>
      </c>
      <c r="G61" s="28">
        <f t="shared" si="31"/>
        <v>611169.50999999989</v>
      </c>
      <c r="H61" s="21">
        <v>27.57</v>
      </c>
      <c r="I61" s="71">
        <f t="shared" ref="I61:L61" si="32">SUM(I51:I60)</f>
        <v>-229</v>
      </c>
      <c r="J61" s="36">
        <f t="shared" si="32"/>
        <v>903815</v>
      </c>
      <c r="K61" s="28">
        <f t="shared" si="32"/>
        <v>958043.89999999991</v>
      </c>
      <c r="L61" s="36">
        <f t="shared" si="32"/>
        <v>1015526.5340000001</v>
      </c>
    </row>
    <row r="62" spans="1:12" s="3" customFormat="1" x14ac:dyDescent="0.25">
      <c r="A62" s="18"/>
      <c r="B62" s="19"/>
      <c r="C62" s="28"/>
      <c r="D62" s="21"/>
      <c r="E62" s="20"/>
      <c r="F62" s="21"/>
      <c r="G62" s="20"/>
      <c r="H62" s="21"/>
      <c r="I62" s="69"/>
      <c r="J62" s="21"/>
      <c r="K62" s="20"/>
      <c r="L62" s="21"/>
    </row>
    <row r="63" spans="1:12" s="3" customFormat="1" x14ac:dyDescent="0.25">
      <c r="A63" s="18"/>
      <c r="B63" s="19" t="s">
        <v>292</v>
      </c>
      <c r="C63" s="34">
        <f>C61</f>
        <v>904044</v>
      </c>
      <c r="D63" s="38">
        <f t="shared" ref="D63:L63" si="33">D61</f>
        <v>51561.14</v>
      </c>
      <c r="E63" s="34">
        <f t="shared" si="33"/>
        <v>43608.53</v>
      </c>
      <c r="F63" s="38">
        <f t="shared" si="33"/>
        <v>249265.96000000002</v>
      </c>
      <c r="G63" s="34">
        <f t="shared" si="33"/>
        <v>611169.50999999989</v>
      </c>
      <c r="H63" s="21">
        <v>27.57</v>
      </c>
      <c r="I63" s="77">
        <f t="shared" si="33"/>
        <v>-229</v>
      </c>
      <c r="J63" s="38">
        <f t="shared" si="33"/>
        <v>903815</v>
      </c>
      <c r="K63" s="34">
        <f t="shared" si="33"/>
        <v>958043.89999999991</v>
      </c>
      <c r="L63" s="38">
        <f t="shared" si="33"/>
        <v>1015526.5340000001</v>
      </c>
    </row>
    <row r="64" spans="1:12" s="3" customFormat="1" x14ac:dyDescent="0.25">
      <c r="A64" s="18"/>
      <c r="B64" s="19"/>
      <c r="C64" s="28"/>
      <c r="D64" s="21"/>
      <c r="E64" s="20"/>
      <c r="F64" s="21"/>
      <c r="G64" s="20"/>
      <c r="H64" s="21"/>
      <c r="I64" s="69"/>
      <c r="J64" s="21"/>
      <c r="K64" s="20"/>
      <c r="L64" s="21"/>
    </row>
    <row r="65" spans="1:12" s="3" customFormat="1" x14ac:dyDescent="0.25">
      <c r="A65" s="18"/>
      <c r="B65" s="19" t="s">
        <v>338</v>
      </c>
      <c r="C65" s="28">
        <f>C45+C63</f>
        <v>13214386</v>
      </c>
      <c r="D65" s="36">
        <f t="shared" ref="D65:G65" si="34">D45+D63</f>
        <v>853617.63000000012</v>
      </c>
      <c r="E65" s="28">
        <f t="shared" si="34"/>
        <v>43608.53</v>
      </c>
      <c r="F65" s="36">
        <f t="shared" si="34"/>
        <v>5018545.4799999995</v>
      </c>
      <c r="G65" s="28">
        <f t="shared" si="34"/>
        <v>8152231.9900000002</v>
      </c>
      <c r="H65" s="21">
        <v>37.97</v>
      </c>
      <c r="I65" s="71">
        <f t="shared" ref="I65:L65" si="35">I45+I63</f>
        <v>80256.98</v>
      </c>
      <c r="J65" s="36">
        <f t="shared" si="35"/>
        <v>13294642.98</v>
      </c>
      <c r="K65" s="28">
        <f t="shared" si="35"/>
        <v>14092321.558800003</v>
      </c>
      <c r="L65" s="36">
        <f t="shared" si="35"/>
        <v>14937860.852327999</v>
      </c>
    </row>
    <row r="66" spans="1:12" s="3" customFormat="1" x14ac:dyDescent="0.25">
      <c r="A66" s="18"/>
      <c r="B66" s="19"/>
      <c r="C66" s="28"/>
      <c r="D66" s="21"/>
      <c r="E66" s="20"/>
      <c r="F66" s="21"/>
      <c r="G66" s="20"/>
      <c r="H66" s="21"/>
      <c r="I66" s="69"/>
      <c r="J66" s="21"/>
      <c r="K66" s="20"/>
      <c r="L66" s="21"/>
    </row>
    <row r="67" spans="1:12" s="3" customFormat="1" x14ac:dyDescent="0.25">
      <c r="A67" s="18"/>
      <c r="B67" s="19"/>
      <c r="C67" s="28"/>
      <c r="D67" s="21"/>
      <c r="E67" s="20"/>
      <c r="F67" s="21"/>
      <c r="G67" s="20"/>
      <c r="H67" s="21"/>
      <c r="I67" s="69"/>
      <c r="J67" s="21"/>
      <c r="K67" s="20"/>
      <c r="L67" s="21"/>
    </row>
    <row r="68" spans="1:12" s="3" customFormat="1" x14ac:dyDescent="0.25">
      <c r="A68" s="18"/>
      <c r="B68" s="19" t="s">
        <v>339</v>
      </c>
      <c r="C68" s="28">
        <f>C65</f>
        <v>13214386</v>
      </c>
      <c r="D68" s="36">
        <f t="shared" ref="D68:G68" si="36">D65</f>
        <v>853617.63000000012</v>
      </c>
      <c r="E68" s="28">
        <f t="shared" si="36"/>
        <v>43608.53</v>
      </c>
      <c r="F68" s="36">
        <f t="shared" si="36"/>
        <v>5018545.4799999995</v>
      </c>
      <c r="G68" s="28">
        <f t="shared" si="36"/>
        <v>8152231.9900000002</v>
      </c>
      <c r="H68" s="21">
        <v>37.97</v>
      </c>
      <c r="I68" s="69">
        <f>I65</f>
        <v>80256.98</v>
      </c>
      <c r="J68" s="36">
        <f t="shared" ref="J68:L68" si="37">J65</f>
        <v>13294642.98</v>
      </c>
      <c r="K68" s="28">
        <f t="shared" si="37"/>
        <v>14092321.558800003</v>
      </c>
      <c r="L68" s="36">
        <f t="shared" si="37"/>
        <v>14937860.852327999</v>
      </c>
    </row>
    <row r="69" spans="1:12" s="3" customFormat="1" x14ac:dyDescent="0.25">
      <c r="A69" s="18"/>
      <c r="B69" s="19"/>
      <c r="C69" s="28"/>
      <c r="D69" s="21"/>
      <c r="E69" s="28"/>
      <c r="F69" s="36"/>
      <c r="G69" s="28"/>
      <c r="H69" s="36"/>
      <c r="I69" s="71"/>
      <c r="J69" s="21"/>
      <c r="K69" s="20"/>
      <c r="L69" s="21"/>
    </row>
    <row r="70" spans="1:12" s="3" customFormat="1" x14ac:dyDescent="0.25">
      <c r="A70" s="18"/>
      <c r="B70" s="19" t="s">
        <v>431</v>
      </c>
      <c r="C70" s="28"/>
      <c r="D70" s="21"/>
      <c r="E70" s="20"/>
      <c r="F70" s="21"/>
      <c r="G70" s="20"/>
      <c r="H70" s="21"/>
      <c r="I70" s="69"/>
      <c r="J70" s="21"/>
      <c r="K70" s="20"/>
      <c r="L70" s="21"/>
    </row>
    <row r="71" spans="1:12" s="3" customFormat="1" x14ac:dyDescent="0.25">
      <c r="A71" s="18"/>
      <c r="B71" s="19"/>
      <c r="C71" s="28"/>
      <c r="D71" s="21"/>
      <c r="E71" s="20"/>
      <c r="F71" s="21"/>
      <c r="G71" s="20"/>
      <c r="H71" s="21"/>
      <c r="I71" s="69"/>
      <c r="J71" s="21"/>
      <c r="K71" s="20"/>
      <c r="L71" s="21"/>
    </row>
    <row r="72" spans="1:12" s="1" customFormat="1" ht="14.25" x14ac:dyDescent="0.2">
      <c r="A72" s="5" t="s">
        <v>704</v>
      </c>
      <c r="B72" s="7" t="s">
        <v>433</v>
      </c>
      <c r="C72" s="29">
        <f>C68</f>
        <v>13214386</v>
      </c>
      <c r="D72" s="37">
        <f t="shared" ref="D72:L72" si="38">D68</f>
        <v>853617.63000000012</v>
      </c>
      <c r="E72" s="29">
        <f t="shared" si="38"/>
        <v>43608.53</v>
      </c>
      <c r="F72" s="37">
        <f t="shared" si="38"/>
        <v>5018545.4799999995</v>
      </c>
      <c r="G72" s="29">
        <f t="shared" si="38"/>
        <v>8152231.9900000002</v>
      </c>
      <c r="H72" s="11">
        <v>37.97</v>
      </c>
      <c r="I72" s="76">
        <f t="shared" si="38"/>
        <v>80256.98</v>
      </c>
      <c r="J72" s="37">
        <f t="shared" si="38"/>
        <v>13294642.98</v>
      </c>
      <c r="K72" s="29">
        <f t="shared" si="38"/>
        <v>14092321.558800003</v>
      </c>
      <c r="L72" s="37">
        <f t="shared" si="38"/>
        <v>14937860.852327999</v>
      </c>
    </row>
    <row r="73" spans="1:12" s="1" customFormat="1" ht="14.25" x14ac:dyDescent="0.2">
      <c r="A73" s="5" t="s">
        <v>705</v>
      </c>
      <c r="B73" s="7" t="s">
        <v>429</v>
      </c>
      <c r="C73" s="29">
        <v>0</v>
      </c>
      <c r="D73" s="11">
        <v>0</v>
      </c>
      <c r="E73" s="9">
        <v>0</v>
      </c>
      <c r="F73" s="11">
        <v>0</v>
      </c>
      <c r="G73" s="9">
        <v>0</v>
      </c>
      <c r="H73" s="11">
        <v>0</v>
      </c>
      <c r="I73" s="70">
        <v>0</v>
      </c>
      <c r="J73" s="11"/>
      <c r="K73" s="9"/>
      <c r="L73" s="11"/>
    </row>
    <row r="74" spans="1:12" s="1" customFormat="1" ht="14.25" x14ac:dyDescent="0.2">
      <c r="A74" s="5"/>
      <c r="B74" s="7"/>
      <c r="C74" s="29"/>
      <c r="D74" s="11"/>
      <c r="E74" s="9"/>
      <c r="F74" s="11"/>
      <c r="G74" s="9"/>
      <c r="H74" s="11"/>
      <c r="I74" s="70"/>
      <c r="J74" s="11"/>
      <c r="K74" s="9"/>
      <c r="L74" s="11"/>
    </row>
    <row r="75" spans="1:12" s="3" customFormat="1" x14ac:dyDescent="0.25">
      <c r="A75" s="18"/>
      <c r="B75" s="19" t="s">
        <v>435</v>
      </c>
      <c r="C75" s="28">
        <f>C72+C73</f>
        <v>13214386</v>
      </c>
      <c r="D75" s="36">
        <f t="shared" ref="D75:L75" si="39">D72+D73</f>
        <v>853617.63000000012</v>
      </c>
      <c r="E75" s="28">
        <f t="shared" si="39"/>
        <v>43608.53</v>
      </c>
      <c r="F75" s="36">
        <f t="shared" si="39"/>
        <v>5018545.4799999995</v>
      </c>
      <c r="G75" s="28">
        <f t="shared" si="39"/>
        <v>8152231.9900000002</v>
      </c>
      <c r="H75" s="21">
        <v>37.97</v>
      </c>
      <c r="I75" s="71">
        <f>I72+I73</f>
        <v>80256.98</v>
      </c>
      <c r="J75" s="36">
        <f t="shared" si="39"/>
        <v>13294642.98</v>
      </c>
      <c r="K75" s="28">
        <f t="shared" si="39"/>
        <v>14092321.558800003</v>
      </c>
      <c r="L75" s="36">
        <f t="shared" si="39"/>
        <v>14937860.852327999</v>
      </c>
    </row>
    <row r="76" spans="1:12" s="3" customFormat="1" x14ac:dyDescent="0.25">
      <c r="A76" s="18"/>
      <c r="B76" s="19"/>
      <c r="C76" s="28"/>
      <c r="D76" s="21"/>
      <c r="E76" s="20"/>
      <c r="F76" s="21"/>
      <c r="G76" s="20"/>
      <c r="H76" s="21"/>
      <c r="I76" s="69"/>
      <c r="J76" s="21"/>
      <c r="K76" s="20"/>
      <c r="L76" s="21"/>
    </row>
    <row r="77" spans="1:12" s="3" customFormat="1" x14ac:dyDescent="0.25">
      <c r="A77" s="18"/>
      <c r="B77" s="19" t="s">
        <v>436</v>
      </c>
      <c r="C77" s="28">
        <f>C75</f>
        <v>13214386</v>
      </c>
      <c r="D77" s="36">
        <f t="shared" ref="D77:G77" si="40">D75</f>
        <v>853617.63000000012</v>
      </c>
      <c r="E77" s="28">
        <f t="shared" si="40"/>
        <v>43608.53</v>
      </c>
      <c r="F77" s="36">
        <f t="shared" si="40"/>
        <v>5018545.4799999995</v>
      </c>
      <c r="G77" s="28">
        <f t="shared" si="40"/>
        <v>8152231.9900000002</v>
      </c>
      <c r="H77" s="21">
        <v>37.97</v>
      </c>
      <c r="I77" s="71">
        <f t="shared" ref="I77:L77" si="41">I75</f>
        <v>80256.98</v>
      </c>
      <c r="J77" s="36">
        <f t="shared" si="41"/>
        <v>13294642.98</v>
      </c>
      <c r="K77" s="28">
        <f t="shared" si="41"/>
        <v>14092321.558800003</v>
      </c>
      <c r="L77" s="36">
        <f t="shared" si="41"/>
        <v>14937860.852327999</v>
      </c>
    </row>
    <row r="78" spans="1:12" s="1" customFormat="1" ht="14.25" x14ac:dyDescent="0.2">
      <c r="A78" s="5"/>
      <c r="B78" s="7"/>
      <c r="C78" s="29"/>
      <c r="D78" s="11"/>
      <c r="E78" s="9"/>
      <c r="F78" s="11"/>
      <c r="G78" s="9"/>
      <c r="H78" s="11"/>
      <c r="I78" s="70"/>
      <c r="J78" s="11"/>
      <c r="K78" s="9"/>
      <c r="L78" s="1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opLeftCell="B1" zoomScaleNormal="100" workbookViewId="0">
      <pane xSplit="1" ySplit="1" topLeftCell="G119" activePane="bottomRight" state="frozen"/>
      <selection activeCell="B1" sqref="B1"/>
      <selection pane="topRight" activeCell="C1" sqref="C1"/>
      <selection pane="bottomLeft" activeCell="B2" sqref="B2"/>
      <selection pane="bottomRight" activeCell="L123" sqref="L123"/>
    </sheetView>
  </sheetViews>
  <sheetFormatPr defaultRowHeight="15" x14ac:dyDescent="0.25"/>
  <cols>
    <col min="1" max="1" width="18.42578125" bestFit="1" customWidth="1"/>
    <col min="2" max="2" width="66" bestFit="1" customWidth="1"/>
    <col min="3" max="3" width="17.7109375" customWidth="1"/>
    <col min="4" max="4" width="18.140625" customWidth="1"/>
    <col min="5" max="5" width="19" customWidth="1"/>
    <col min="6" max="6" width="17.85546875" customWidth="1"/>
    <col min="7" max="7" width="16.85546875" customWidth="1"/>
    <col min="9" max="9" width="16.5703125" style="73" customWidth="1"/>
    <col min="10" max="10" width="16.28515625" customWidth="1"/>
    <col min="11" max="11" width="15.7109375" customWidth="1"/>
    <col min="12" max="12" width="14.8554687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5" t="s">
        <v>7</v>
      </c>
      <c r="I1" s="68" t="s">
        <v>999</v>
      </c>
      <c r="J1" s="17" t="s">
        <v>1000</v>
      </c>
      <c r="K1" s="39" t="s">
        <v>1001</v>
      </c>
      <c r="L1" s="17" t="s">
        <v>1002</v>
      </c>
    </row>
    <row r="2" spans="1:12" s="3" customFormat="1" x14ac:dyDescent="0.25">
      <c r="A2" s="18"/>
      <c r="B2" s="19" t="s">
        <v>708</v>
      </c>
      <c r="C2" s="28"/>
      <c r="D2" s="21"/>
      <c r="E2" s="20"/>
      <c r="F2" s="21"/>
      <c r="G2" s="20"/>
      <c r="H2" s="21"/>
      <c r="I2" s="69"/>
      <c r="J2" s="21"/>
      <c r="K2" s="20"/>
      <c r="L2" s="21"/>
    </row>
    <row r="3" spans="1:12" s="3" customFormat="1" x14ac:dyDescent="0.25">
      <c r="A3" s="18"/>
      <c r="B3" s="19"/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 t="s">
        <v>9</v>
      </c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/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 t="s">
        <v>10</v>
      </c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/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 t="s">
        <v>11</v>
      </c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/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1" customFormat="1" ht="14.25" x14ac:dyDescent="0.2">
      <c r="A10" s="5" t="s">
        <v>709</v>
      </c>
      <c r="B10" s="7" t="s">
        <v>13</v>
      </c>
      <c r="C10" s="29">
        <v>435699</v>
      </c>
      <c r="D10" s="11">
        <v>73823.25</v>
      </c>
      <c r="E10" s="9">
        <v>0</v>
      </c>
      <c r="F10" s="11">
        <v>228061.76</v>
      </c>
      <c r="G10" s="9">
        <f>C10-E10-F10</f>
        <v>207637.24</v>
      </c>
      <c r="H10" s="11">
        <v>52.34</v>
      </c>
      <c r="I10" s="70">
        <v>0</v>
      </c>
      <c r="J10" s="11">
        <f t="shared" ref="J10:J24" si="0">C10+I10</f>
        <v>435699</v>
      </c>
      <c r="K10" s="9">
        <f>J10*6/100+J10</f>
        <v>461840.94</v>
      </c>
      <c r="L10" s="11">
        <f>K10*6/100+K10</f>
        <v>489551.39640000003</v>
      </c>
    </row>
    <row r="11" spans="1:12" s="1" customFormat="1" ht="14.25" x14ac:dyDescent="0.2">
      <c r="A11" s="5" t="s">
        <v>710</v>
      </c>
      <c r="B11" s="7" t="s">
        <v>15</v>
      </c>
      <c r="C11" s="29">
        <v>25056</v>
      </c>
      <c r="D11" s="11">
        <v>1400</v>
      </c>
      <c r="E11" s="9">
        <v>0</v>
      </c>
      <c r="F11" s="11">
        <v>8400</v>
      </c>
      <c r="G11" s="9">
        <f t="shared" ref="G11:G24" si="1">C11-E11-F11</f>
        <v>16656</v>
      </c>
      <c r="H11" s="11">
        <v>33.520000000000003</v>
      </c>
      <c r="I11" s="70">
        <f>-C11*10/100</f>
        <v>-2505.6</v>
      </c>
      <c r="J11" s="11">
        <f t="shared" si="0"/>
        <v>22550.400000000001</v>
      </c>
      <c r="K11" s="9">
        <f t="shared" ref="K11:L15" si="2">J11*6/100+J11</f>
        <v>23903.424000000003</v>
      </c>
      <c r="L11" s="11">
        <f t="shared" si="2"/>
        <v>25337.629440000004</v>
      </c>
    </row>
    <row r="12" spans="1:12" s="1" customFormat="1" ht="14.25" x14ac:dyDescent="0.2">
      <c r="A12" s="5" t="s">
        <v>711</v>
      </c>
      <c r="B12" s="7" t="s">
        <v>17</v>
      </c>
      <c r="C12" s="29">
        <v>62770</v>
      </c>
      <c r="D12" s="11">
        <v>5230.8</v>
      </c>
      <c r="E12" s="9">
        <v>0</v>
      </c>
      <c r="F12" s="11">
        <v>31384.799999999999</v>
      </c>
      <c r="G12" s="9">
        <f t="shared" si="1"/>
        <v>31385.200000000001</v>
      </c>
      <c r="H12" s="11">
        <v>49.99</v>
      </c>
      <c r="I12" s="70">
        <v>0</v>
      </c>
      <c r="J12" s="11">
        <f t="shared" si="0"/>
        <v>62770</v>
      </c>
      <c r="K12" s="9">
        <f t="shared" si="2"/>
        <v>66536.2</v>
      </c>
      <c r="L12" s="11">
        <f t="shared" si="2"/>
        <v>70528.372000000003</v>
      </c>
    </row>
    <row r="13" spans="1:12" s="1" customFormat="1" ht="14.25" x14ac:dyDescent="0.2">
      <c r="A13" s="5" t="s">
        <v>712</v>
      </c>
      <c r="B13" s="7" t="s">
        <v>713</v>
      </c>
      <c r="C13" s="29">
        <v>110000</v>
      </c>
      <c r="D13" s="11">
        <v>25924.17</v>
      </c>
      <c r="E13" s="9">
        <v>0</v>
      </c>
      <c r="F13" s="11">
        <v>93891.9</v>
      </c>
      <c r="G13" s="9">
        <f t="shared" si="1"/>
        <v>16108.100000000006</v>
      </c>
      <c r="H13" s="11">
        <v>85.35</v>
      </c>
      <c r="I13" s="70">
        <v>155000</v>
      </c>
      <c r="J13" s="11">
        <f t="shared" si="0"/>
        <v>265000</v>
      </c>
      <c r="K13" s="9">
        <f t="shared" si="2"/>
        <v>280900</v>
      </c>
      <c r="L13" s="11">
        <f t="shared" si="2"/>
        <v>297754</v>
      </c>
    </row>
    <row r="14" spans="1:12" s="1" customFormat="1" ht="14.25" x14ac:dyDescent="0.2">
      <c r="A14" s="5" t="s">
        <v>714</v>
      </c>
      <c r="B14" s="7" t="s">
        <v>21</v>
      </c>
      <c r="C14" s="29">
        <v>40000</v>
      </c>
      <c r="D14" s="11">
        <v>9299.77</v>
      </c>
      <c r="E14" s="9">
        <v>0</v>
      </c>
      <c r="F14" s="11">
        <v>23275.919999999998</v>
      </c>
      <c r="G14" s="9">
        <f t="shared" si="1"/>
        <v>16724.080000000002</v>
      </c>
      <c r="H14" s="11">
        <v>58.18</v>
      </c>
      <c r="I14" s="70">
        <v>0</v>
      </c>
      <c r="J14" s="11">
        <f t="shared" si="0"/>
        <v>40000</v>
      </c>
      <c r="K14" s="9">
        <f t="shared" si="2"/>
        <v>42400</v>
      </c>
      <c r="L14" s="11">
        <f t="shared" si="2"/>
        <v>44944</v>
      </c>
    </row>
    <row r="15" spans="1:12" s="1" customFormat="1" ht="14.25" x14ac:dyDescent="0.2">
      <c r="A15" s="5" t="s">
        <v>715</v>
      </c>
      <c r="B15" s="7" t="s">
        <v>24</v>
      </c>
      <c r="C15" s="29">
        <v>178224</v>
      </c>
      <c r="D15" s="11">
        <v>11466.33</v>
      </c>
      <c r="E15" s="9">
        <v>0</v>
      </c>
      <c r="F15" s="11">
        <v>68797.98</v>
      </c>
      <c r="G15" s="9">
        <f t="shared" si="1"/>
        <v>109426.02</v>
      </c>
      <c r="H15" s="11">
        <v>38.6</v>
      </c>
      <c r="I15" s="70">
        <f>-C15*15/100</f>
        <v>-26733.599999999999</v>
      </c>
      <c r="J15" s="11">
        <f t="shared" si="0"/>
        <v>151490.4</v>
      </c>
      <c r="K15" s="9">
        <f t="shared" si="2"/>
        <v>160579.82399999999</v>
      </c>
      <c r="L15" s="11">
        <f t="shared" si="2"/>
        <v>170214.61343999999</v>
      </c>
    </row>
    <row r="16" spans="1:12" s="1" customFormat="1" ht="14.25" x14ac:dyDescent="0.2">
      <c r="A16" s="5" t="s">
        <v>716</v>
      </c>
      <c r="B16" s="7" t="s">
        <v>28</v>
      </c>
      <c r="C16" s="29">
        <v>33117</v>
      </c>
      <c r="D16" s="11">
        <v>0</v>
      </c>
      <c r="E16" s="9">
        <v>0</v>
      </c>
      <c r="F16" s="11">
        <v>38524.51</v>
      </c>
      <c r="G16" s="9">
        <f t="shared" si="1"/>
        <v>-5407.510000000002</v>
      </c>
      <c r="H16" s="11">
        <v>116.32</v>
      </c>
      <c r="I16" s="70">
        <v>5408</v>
      </c>
      <c r="J16" s="11">
        <f t="shared" si="0"/>
        <v>38525</v>
      </c>
      <c r="K16" s="9">
        <f t="shared" ref="K16:L16" si="3">J16*6/100+J16</f>
        <v>40836.5</v>
      </c>
      <c r="L16" s="11">
        <f t="shared" si="3"/>
        <v>43286.69</v>
      </c>
    </row>
    <row r="17" spans="1:12" s="1" customFormat="1" ht="14.25" x14ac:dyDescent="0.2">
      <c r="A17" s="5" t="s">
        <v>717</v>
      </c>
      <c r="B17" s="7" t="s">
        <v>30</v>
      </c>
      <c r="C17" s="29">
        <v>0</v>
      </c>
      <c r="D17" s="11">
        <v>0</v>
      </c>
      <c r="E17" s="9">
        <v>0</v>
      </c>
      <c r="F17" s="11">
        <v>0</v>
      </c>
      <c r="G17" s="9">
        <f t="shared" si="1"/>
        <v>0</v>
      </c>
      <c r="H17" s="11">
        <v>0</v>
      </c>
      <c r="I17" s="70">
        <v>0</v>
      </c>
      <c r="J17" s="11">
        <f t="shared" si="0"/>
        <v>0</v>
      </c>
      <c r="K17" s="9">
        <f t="shared" ref="K17:L17" si="4">J17*6/100+J17</f>
        <v>0</v>
      </c>
      <c r="L17" s="11">
        <f t="shared" si="4"/>
        <v>0</v>
      </c>
    </row>
    <row r="18" spans="1:12" s="1" customFormat="1" ht="14.25" x14ac:dyDescent="0.2">
      <c r="A18" s="5" t="s">
        <v>718</v>
      </c>
      <c r="B18" s="7" t="s">
        <v>32</v>
      </c>
      <c r="C18" s="29">
        <v>5228393</v>
      </c>
      <c r="D18" s="11">
        <v>442306</v>
      </c>
      <c r="E18" s="9">
        <v>0</v>
      </c>
      <c r="F18" s="11">
        <v>2608906.94</v>
      </c>
      <c r="G18" s="9">
        <f t="shared" si="1"/>
        <v>2619486.06</v>
      </c>
      <c r="H18" s="11">
        <v>49.89</v>
      </c>
      <c r="I18" s="70">
        <v>0</v>
      </c>
      <c r="J18" s="11">
        <f t="shared" si="0"/>
        <v>5228393</v>
      </c>
      <c r="K18" s="9">
        <f t="shared" ref="K18:L18" si="5">J18*6/100+J18</f>
        <v>5542096.5800000001</v>
      </c>
      <c r="L18" s="11">
        <f t="shared" si="5"/>
        <v>5874622.3748000003</v>
      </c>
    </row>
    <row r="19" spans="1:12" s="1" customFormat="1" ht="14.25" x14ac:dyDescent="0.2">
      <c r="A19" s="5" t="s">
        <v>719</v>
      </c>
      <c r="B19" s="7" t="s">
        <v>34</v>
      </c>
      <c r="C19" s="29">
        <v>0</v>
      </c>
      <c r="D19" s="11">
        <v>0</v>
      </c>
      <c r="E19" s="9">
        <v>0</v>
      </c>
      <c r="F19" s="11">
        <v>0</v>
      </c>
      <c r="G19" s="9">
        <f t="shared" si="1"/>
        <v>0</v>
      </c>
      <c r="H19" s="11">
        <v>0</v>
      </c>
      <c r="I19" s="70">
        <v>0</v>
      </c>
      <c r="J19" s="11">
        <f t="shared" si="0"/>
        <v>0</v>
      </c>
      <c r="K19" s="9">
        <f t="shared" ref="K19:L19" si="6">J19*6/100+J19</f>
        <v>0</v>
      </c>
      <c r="L19" s="11">
        <f t="shared" si="6"/>
        <v>0</v>
      </c>
    </row>
    <row r="20" spans="1:12" s="1" customFormat="1" ht="14.25" x14ac:dyDescent="0.2">
      <c r="A20" s="5" t="s">
        <v>720</v>
      </c>
      <c r="B20" s="7" t="s">
        <v>36</v>
      </c>
      <c r="C20" s="29">
        <v>887990</v>
      </c>
      <c r="D20" s="11">
        <v>75162.649999999994</v>
      </c>
      <c r="E20" s="9">
        <v>0</v>
      </c>
      <c r="F20" s="11">
        <v>448589.83</v>
      </c>
      <c r="G20" s="9">
        <f t="shared" si="1"/>
        <v>439400.17</v>
      </c>
      <c r="H20" s="11">
        <v>50.51</v>
      </c>
      <c r="I20" s="70">
        <v>0</v>
      </c>
      <c r="J20" s="11">
        <f t="shared" si="0"/>
        <v>887990</v>
      </c>
      <c r="K20" s="9">
        <f t="shared" ref="K20:L20" si="7">J20*6/100+J20</f>
        <v>941269.4</v>
      </c>
      <c r="L20" s="11">
        <f t="shared" si="7"/>
        <v>997745.56400000001</v>
      </c>
    </row>
    <row r="21" spans="1:12" s="1" customFormat="1" ht="14.25" x14ac:dyDescent="0.2">
      <c r="A21" s="5" t="s">
        <v>721</v>
      </c>
      <c r="B21" s="7" t="s">
        <v>722</v>
      </c>
      <c r="C21" s="29">
        <v>436488</v>
      </c>
      <c r="D21" s="11">
        <v>18706.66</v>
      </c>
      <c r="E21" s="9">
        <v>0</v>
      </c>
      <c r="F21" s="11">
        <v>162105.32999999999</v>
      </c>
      <c r="G21" s="9">
        <f t="shared" si="1"/>
        <v>274382.67000000004</v>
      </c>
      <c r="H21" s="11">
        <v>37.130000000000003</v>
      </c>
      <c r="I21" s="70">
        <f>-36488+-76608</f>
        <v>-113096</v>
      </c>
      <c r="J21" s="11">
        <f t="shared" si="0"/>
        <v>323392</v>
      </c>
      <c r="K21" s="9">
        <v>400000</v>
      </c>
      <c r="L21" s="11">
        <v>400000</v>
      </c>
    </row>
    <row r="22" spans="1:12" s="1" customFormat="1" ht="14.25" x14ac:dyDescent="0.2">
      <c r="A22" s="5" t="s">
        <v>723</v>
      </c>
      <c r="B22" s="7" t="s">
        <v>44</v>
      </c>
      <c r="C22" s="29">
        <v>0</v>
      </c>
      <c r="D22" s="11">
        <v>0</v>
      </c>
      <c r="E22" s="9">
        <v>0</v>
      </c>
      <c r="F22" s="11">
        <v>0</v>
      </c>
      <c r="G22" s="9">
        <f t="shared" si="1"/>
        <v>0</v>
      </c>
      <c r="H22" s="11">
        <v>0</v>
      </c>
      <c r="I22" s="70">
        <v>0</v>
      </c>
      <c r="J22" s="11">
        <f t="shared" si="0"/>
        <v>0</v>
      </c>
      <c r="K22" s="9">
        <f t="shared" ref="K22" si="8">J22*6/100+J22</f>
        <v>0</v>
      </c>
      <c r="L22" s="11">
        <f t="shared" ref="L22" si="9">K22*6/100+K22</f>
        <v>0</v>
      </c>
    </row>
    <row r="23" spans="1:12" s="1" customFormat="1" ht="14.25" x14ac:dyDescent="0.2">
      <c r="A23" s="5" t="s">
        <v>724</v>
      </c>
      <c r="B23" s="7" t="s">
        <v>46</v>
      </c>
      <c r="C23" s="29">
        <v>0</v>
      </c>
      <c r="D23" s="11">
        <v>0</v>
      </c>
      <c r="E23" s="9">
        <v>0</v>
      </c>
      <c r="F23" s="11">
        <v>0</v>
      </c>
      <c r="G23" s="9">
        <f t="shared" si="1"/>
        <v>0</v>
      </c>
      <c r="H23" s="11">
        <v>0</v>
      </c>
      <c r="I23" s="70">
        <v>0</v>
      </c>
      <c r="J23" s="11">
        <f t="shared" si="0"/>
        <v>0</v>
      </c>
      <c r="K23" s="9">
        <f t="shared" ref="K23" si="10">J23*6/100+J23</f>
        <v>0</v>
      </c>
      <c r="L23" s="11">
        <f t="shared" ref="L23" si="11">K23*6/100+K23</f>
        <v>0</v>
      </c>
    </row>
    <row r="24" spans="1:12" s="1" customFormat="1" ht="14.25" x14ac:dyDescent="0.2">
      <c r="A24" s="5" t="s">
        <v>725</v>
      </c>
      <c r="B24" s="7" t="s">
        <v>48</v>
      </c>
      <c r="C24" s="29">
        <v>0</v>
      </c>
      <c r="D24" s="11">
        <v>0</v>
      </c>
      <c r="E24" s="9">
        <v>0</v>
      </c>
      <c r="F24" s="11">
        <v>0</v>
      </c>
      <c r="G24" s="9">
        <f t="shared" si="1"/>
        <v>0</v>
      </c>
      <c r="H24" s="11">
        <v>0</v>
      </c>
      <c r="I24" s="70">
        <v>0</v>
      </c>
      <c r="J24" s="11">
        <f t="shared" si="0"/>
        <v>0</v>
      </c>
      <c r="K24" s="9">
        <f t="shared" ref="K24" si="12">J24*6/100+J24</f>
        <v>0</v>
      </c>
      <c r="L24" s="11">
        <f t="shared" ref="L24" si="13">K24*6/100+K24</f>
        <v>0</v>
      </c>
    </row>
    <row r="25" spans="1:12" s="1" customFormat="1" ht="14.25" x14ac:dyDescent="0.2">
      <c r="A25" s="5"/>
      <c r="B25" s="7"/>
      <c r="C25" s="29"/>
      <c r="D25" s="11"/>
      <c r="E25" s="9"/>
      <c r="F25" s="11"/>
      <c r="G25" s="9"/>
      <c r="H25" s="11"/>
      <c r="I25" s="70"/>
      <c r="J25" s="11"/>
      <c r="K25" s="9"/>
      <c r="L25" s="11"/>
    </row>
    <row r="26" spans="1:12" s="3" customFormat="1" x14ac:dyDescent="0.25">
      <c r="A26" s="18"/>
      <c r="B26" s="19" t="s">
        <v>49</v>
      </c>
      <c r="C26" s="28">
        <f>SUM(C10:C25)</f>
        <v>7437737</v>
      </c>
      <c r="D26" s="36">
        <f>SUM(D10:D25)</f>
        <v>663319.63000000012</v>
      </c>
      <c r="E26" s="28">
        <f>SUM(E10:E25)</f>
        <v>0</v>
      </c>
      <c r="F26" s="36">
        <f>SUM(F10:F25)</f>
        <v>3711938.97</v>
      </c>
      <c r="G26" s="28">
        <f>SUM(G10:G25)</f>
        <v>3725798.03</v>
      </c>
      <c r="H26" s="21">
        <v>49.9</v>
      </c>
      <c r="I26" s="71">
        <f>SUM(I10:I25)</f>
        <v>18072.799999999988</v>
      </c>
      <c r="J26" s="36">
        <f>SUM(J10:J25)</f>
        <v>7455809.7999999998</v>
      </c>
      <c r="K26" s="28">
        <f>SUM(K10:K25)</f>
        <v>7960362.8680000007</v>
      </c>
      <c r="L26" s="36">
        <f>SUM(L10:L25)</f>
        <v>8413984.6400800012</v>
      </c>
    </row>
    <row r="27" spans="1:12" s="3" customFormat="1" x14ac:dyDescent="0.25">
      <c r="A27" s="18"/>
      <c r="B27" s="19"/>
      <c r="C27" s="28"/>
      <c r="D27" s="21"/>
      <c r="E27" s="20"/>
      <c r="F27" s="21"/>
      <c r="G27" s="20"/>
      <c r="H27" s="21"/>
      <c r="I27" s="69"/>
      <c r="J27" s="21"/>
      <c r="K27" s="20"/>
      <c r="L27" s="21"/>
    </row>
    <row r="28" spans="1:12" s="3" customFormat="1" x14ac:dyDescent="0.25">
      <c r="A28" s="18"/>
      <c r="B28" s="19" t="s">
        <v>50</v>
      </c>
      <c r="C28" s="28"/>
      <c r="D28" s="21"/>
      <c r="E28" s="20"/>
      <c r="F28" s="21"/>
      <c r="G28" s="20"/>
      <c r="H28" s="21"/>
      <c r="I28" s="69"/>
      <c r="J28" s="21"/>
      <c r="K28" s="20"/>
      <c r="L28" s="21"/>
    </row>
    <row r="29" spans="1:12" s="3" customFormat="1" x14ac:dyDescent="0.25">
      <c r="A29" s="18"/>
      <c r="B29" s="19"/>
      <c r="C29" s="28"/>
      <c r="D29" s="21"/>
      <c r="E29" s="20"/>
      <c r="F29" s="21"/>
      <c r="G29" s="20"/>
      <c r="H29" s="21"/>
      <c r="I29" s="69"/>
      <c r="J29" s="21"/>
      <c r="K29" s="20"/>
      <c r="L29" s="21"/>
    </row>
    <row r="30" spans="1:12" s="1" customFormat="1" ht="14.25" x14ac:dyDescent="0.2">
      <c r="A30" s="5" t="s">
        <v>726</v>
      </c>
      <c r="B30" s="7" t="s">
        <v>53</v>
      </c>
      <c r="C30" s="29">
        <v>1600</v>
      </c>
      <c r="D30" s="11">
        <v>166.75</v>
      </c>
      <c r="E30" s="9">
        <v>0</v>
      </c>
      <c r="F30" s="11">
        <v>986</v>
      </c>
      <c r="G30" s="9">
        <f t="shared" ref="G30:G34" si="14">C30-E30-F30</f>
        <v>614</v>
      </c>
      <c r="H30" s="11">
        <v>61.62</v>
      </c>
      <c r="I30" s="70">
        <v>192</v>
      </c>
      <c r="J30" s="11">
        <f t="shared" ref="J30:J34" si="15">C30+I30</f>
        <v>1792</v>
      </c>
      <c r="K30" s="9">
        <f t="shared" ref="K30:L30" si="16">J30*6/100+J30</f>
        <v>1899.52</v>
      </c>
      <c r="L30" s="11">
        <f t="shared" si="16"/>
        <v>2013.4911999999999</v>
      </c>
    </row>
    <row r="31" spans="1:12" s="1" customFormat="1" ht="14.25" x14ac:dyDescent="0.2">
      <c r="A31" s="5" t="s">
        <v>727</v>
      </c>
      <c r="B31" s="7" t="s">
        <v>55</v>
      </c>
      <c r="C31" s="29">
        <v>33194</v>
      </c>
      <c r="D31" s="11">
        <v>3199.65</v>
      </c>
      <c r="E31" s="9">
        <v>0</v>
      </c>
      <c r="F31" s="11">
        <v>19311.14</v>
      </c>
      <c r="G31" s="9">
        <f t="shared" si="14"/>
        <v>13882.86</v>
      </c>
      <c r="H31" s="11">
        <v>58.17</v>
      </c>
      <c r="I31" s="70">
        <v>2656</v>
      </c>
      <c r="J31" s="11">
        <f t="shared" si="15"/>
        <v>35850</v>
      </c>
      <c r="K31" s="9">
        <f t="shared" ref="K31:L31" si="17">J31*6/100+J31</f>
        <v>38001</v>
      </c>
      <c r="L31" s="11">
        <f t="shared" si="17"/>
        <v>40281.06</v>
      </c>
    </row>
    <row r="32" spans="1:12" s="1" customFormat="1" ht="14.25" x14ac:dyDescent="0.2">
      <c r="A32" s="5" t="s">
        <v>728</v>
      </c>
      <c r="B32" s="7" t="s">
        <v>57</v>
      </c>
      <c r="C32" s="29">
        <v>503932</v>
      </c>
      <c r="D32" s="11">
        <v>35466.6</v>
      </c>
      <c r="E32" s="9">
        <v>0</v>
      </c>
      <c r="F32" s="11">
        <v>208790.76</v>
      </c>
      <c r="G32" s="9">
        <f t="shared" si="14"/>
        <v>295141.24</v>
      </c>
      <c r="H32" s="11">
        <v>41.43</v>
      </c>
      <c r="I32" s="70">
        <v>0</v>
      </c>
      <c r="J32" s="11">
        <f t="shared" si="15"/>
        <v>503932</v>
      </c>
      <c r="K32" s="9">
        <f t="shared" ref="K32:L32" si="18">J32*6/100+J32</f>
        <v>534167.92000000004</v>
      </c>
      <c r="L32" s="11">
        <f t="shared" si="18"/>
        <v>566217.9952</v>
      </c>
    </row>
    <row r="33" spans="1:12" s="1" customFormat="1" ht="14.25" x14ac:dyDescent="0.2">
      <c r="A33" s="5" t="s">
        <v>729</v>
      </c>
      <c r="B33" s="7" t="s">
        <v>59</v>
      </c>
      <c r="C33" s="29">
        <v>1150246</v>
      </c>
      <c r="D33" s="11">
        <v>92613.119999999995</v>
      </c>
      <c r="E33" s="9">
        <v>0</v>
      </c>
      <c r="F33" s="11">
        <v>545955.35</v>
      </c>
      <c r="G33" s="9">
        <f t="shared" si="14"/>
        <v>604290.65</v>
      </c>
      <c r="H33" s="11">
        <v>47.46</v>
      </c>
      <c r="I33" s="70">
        <v>0</v>
      </c>
      <c r="J33" s="11">
        <f t="shared" si="15"/>
        <v>1150246</v>
      </c>
      <c r="K33" s="9">
        <f t="shared" ref="K33:L33" si="19">J33*6/100+J33</f>
        <v>1219260.76</v>
      </c>
      <c r="L33" s="11">
        <f t="shared" si="19"/>
        <v>1292416.4055999999</v>
      </c>
    </row>
    <row r="34" spans="1:12" s="1" customFormat="1" ht="14.25" x14ac:dyDescent="0.2">
      <c r="A34" s="5" t="s">
        <v>730</v>
      </c>
      <c r="B34" s="7" t="s">
        <v>635</v>
      </c>
      <c r="C34" s="29">
        <v>104568</v>
      </c>
      <c r="D34" s="11">
        <v>6399.72</v>
      </c>
      <c r="E34" s="9">
        <v>0</v>
      </c>
      <c r="F34" s="11">
        <v>35986.199999999997</v>
      </c>
      <c r="G34" s="9">
        <f t="shared" si="14"/>
        <v>68581.8</v>
      </c>
      <c r="H34" s="11">
        <v>34.409999999999997</v>
      </c>
      <c r="I34" s="70">
        <v>0</v>
      </c>
      <c r="J34" s="11">
        <f t="shared" si="15"/>
        <v>104568</v>
      </c>
      <c r="K34" s="9">
        <f t="shared" ref="K34:L34" si="20">J34*6/100+J34</f>
        <v>110842.08</v>
      </c>
      <c r="L34" s="11">
        <f t="shared" si="20"/>
        <v>117492.6048</v>
      </c>
    </row>
    <row r="35" spans="1:12" s="1" customFormat="1" ht="14.25" x14ac:dyDescent="0.2">
      <c r="A35" s="5"/>
      <c r="B35" s="7"/>
      <c r="C35" s="29"/>
      <c r="D35" s="11"/>
      <c r="E35" s="9"/>
      <c r="F35" s="11"/>
      <c r="G35" s="9"/>
      <c r="H35" s="11">
        <v>0</v>
      </c>
      <c r="I35" s="70"/>
      <c r="J35" s="11"/>
      <c r="K35" s="9"/>
      <c r="L35" s="11"/>
    </row>
    <row r="36" spans="1:12" s="3" customFormat="1" x14ac:dyDescent="0.25">
      <c r="A36" s="18"/>
      <c r="B36" s="19" t="s">
        <v>63</v>
      </c>
      <c r="C36" s="28">
        <f>SUM(C30:C35)</f>
        <v>1793540</v>
      </c>
      <c r="D36" s="36">
        <f t="shared" ref="D36:G36" si="21">SUM(D30:D35)</f>
        <v>137845.84</v>
      </c>
      <c r="E36" s="28">
        <f t="shared" si="21"/>
        <v>0</v>
      </c>
      <c r="F36" s="36">
        <f t="shared" si="21"/>
        <v>811029.45</v>
      </c>
      <c r="G36" s="28">
        <f t="shared" si="21"/>
        <v>982510.55</v>
      </c>
      <c r="H36" s="21">
        <v>45.21</v>
      </c>
      <c r="I36" s="71">
        <f t="shared" ref="I36:L36" si="22">SUM(I30:I35)</f>
        <v>2848</v>
      </c>
      <c r="J36" s="36">
        <f t="shared" si="22"/>
        <v>1796388</v>
      </c>
      <c r="K36" s="28">
        <f t="shared" si="22"/>
        <v>1904171.2800000003</v>
      </c>
      <c r="L36" s="36">
        <f t="shared" si="22"/>
        <v>2018421.5568000001</v>
      </c>
    </row>
    <row r="37" spans="1:12" s="3" customFormat="1" x14ac:dyDescent="0.25">
      <c r="A37" s="18"/>
      <c r="B37" s="19"/>
      <c r="C37" s="28"/>
      <c r="D37" s="21"/>
      <c r="E37" s="20"/>
      <c r="F37" s="21"/>
      <c r="G37" s="20"/>
      <c r="H37" s="21">
        <v>0</v>
      </c>
      <c r="I37" s="69"/>
      <c r="J37" s="21"/>
      <c r="K37" s="20"/>
      <c r="L37" s="21"/>
    </row>
    <row r="38" spans="1:12" s="3" customFormat="1" x14ac:dyDescent="0.25">
      <c r="A38" s="18"/>
      <c r="B38" s="19" t="s">
        <v>73</v>
      </c>
      <c r="C38" s="28">
        <f>C26+C36</f>
        <v>9231277</v>
      </c>
      <c r="D38" s="36">
        <f t="shared" ref="D38:L38" si="23">D26+D36</f>
        <v>801165.47000000009</v>
      </c>
      <c r="E38" s="28">
        <f t="shared" si="23"/>
        <v>0</v>
      </c>
      <c r="F38" s="36">
        <f t="shared" si="23"/>
        <v>4522968.42</v>
      </c>
      <c r="G38" s="28">
        <f t="shared" si="23"/>
        <v>4708308.58</v>
      </c>
      <c r="H38" s="21">
        <v>48.99</v>
      </c>
      <c r="I38" s="71">
        <f t="shared" si="23"/>
        <v>20920.799999999988</v>
      </c>
      <c r="J38" s="36">
        <f t="shared" si="23"/>
        <v>9252197.8000000007</v>
      </c>
      <c r="K38" s="28">
        <f t="shared" si="23"/>
        <v>9864534.1480000019</v>
      </c>
      <c r="L38" s="36">
        <f t="shared" si="23"/>
        <v>10432406.196880002</v>
      </c>
    </row>
    <row r="39" spans="1:12" s="3" customFormat="1" x14ac:dyDescent="0.25">
      <c r="A39" s="18"/>
      <c r="B39" s="19"/>
      <c r="C39" s="28"/>
      <c r="D39" s="21"/>
      <c r="E39" s="20"/>
      <c r="F39" s="21"/>
      <c r="G39" s="20"/>
      <c r="H39" s="21"/>
      <c r="I39" s="69"/>
      <c r="J39" s="21"/>
      <c r="K39" s="20"/>
      <c r="L39" s="21"/>
    </row>
    <row r="40" spans="1:12" s="3" customFormat="1" x14ac:dyDescent="0.25">
      <c r="A40" s="18"/>
      <c r="B40" s="19" t="s">
        <v>74</v>
      </c>
      <c r="C40" s="28"/>
      <c r="D40" s="21"/>
      <c r="E40" s="20"/>
      <c r="F40" s="21"/>
      <c r="G40" s="20"/>
      <c r="H40" s="21"/>
      <c r="I40" s="69"/>
      <c r="J40" s="21"/>
      <c r="K40" s="20"/>
      <c r="L40" s="21"/>
    </row>
    <row r="41" spans="1:12" s="3" customFormat="1" x14ac:dyDescent="0.25">
      <c r="A41" s="18"/>
      <c r="B41" s="19"/>
      <c r="C41" s="28"/>
      <c r="D41" s="21"/>
      <c r="E41" s="20"/>
      <c r="F41" s="21"/>
      <c r="G41" s="20"/>
      <c r="H41" s="21"/>
      <c r="I41" s="69"/>
      <c r="J41" s="21"/>
      <c r="K41" s="20"/>
      <c r="L41" s="21"/>
    </row>
    <row r="42" spans="1:12" s="3" customFormat="1" x14ac:dyDescent="0.25">
      <c r="A42" s="18"/>
      <c r="B42" s="19" t="s">
        <v>75</v>
      </c>
      <c r="C42" s="28"/>
      <c r="D42" s="21"/>
      <c r="E42" s="20"/>
      <c r="F42" s="21"/>
      <c r="G42" s="20"/>
      <c r="H42" s="21"/>
      <c r="I42" s="69"/>
      <c r="J42" s="21"/>
      <c r="K42" s="20"/>
      <c r="L42" s="21"/>
    </row>
    <row r="43" spans="1:12" s="3" customFormat="1" x14ac:dyDescent="0.25">
      <c r="A43" s="18"/>
      <c r="B43" s="19"/>
      <c r="C43" s="28"/>
      <c r="D43" s="21"/>
      <c r="E43" s="20"/>
      <c r="F43" s="21"/>
      <c r="G43" s="20"/>
      <c r="H43" s="21"/>
      <c r="I43" s="69"/>
      <c r="J43" s="21"/>
      <c r="K43" s="20"/>
      <c r="L43" s="21"/>
    </row>
    <row r="44" spans="1:12" s="1" customFormat="1" ht="14.25" x14ac:dyDescent="0.2">
      <c r="A44" s="5" t="s">
        <v>731</v>
      </c>
      <c r="B44" s="7" t="s">
        <v>77</v>
      </c>
      <c r="C44" s="29">
        <v>0</v>
      </c>
      <c r="D44" s="11">
        <v>0</v>
      </c>
      <c r="E44" s="9">
        <v>0</v>
      </c>
      <c r="F44" s="11">
        <v>0</v>
      </c>
      <c r="G44" s="9">
        <v>0</v>
      </c>
      <c r="H44" s="11">
        <v>0</v>
      </c>
      <c r="I44" s="70"/>
      <c r="J44" s="11">
        <f t="shared" ref="J44:J55" si="24">C44+I44</f>
        <v>0</v>
      </c>
      <c r="K44" s="9"/>
      <c r="L44" s="11"/>
    </row>
    <row r="45" spans="1:12" s="1" customFormat="1" ht="14.25" x14ac:dyDescent="0.2">
      <c r="A45" s="5" t="s">
        <v>732</v>
      </c>
      <c r="B45" s="7" t="s">
        <v>79</v>
      </c>
      <c r="C45" s="29">
        <v>100000</v>
      </c>
      <c r="D45" s="11">
        <v>0</v>
      </c>
      <c r="E45" s="9">
        <v>0</v>
      </c>
      <c r="F45" s="11">
        <v>84062.46</v>
      </c>
      <c r="G45" s="9">
        <f t="shared" ref="G45:G68" si="25">C45-E45-F45</f>
        <v>15937.539999999994</v>
      </c>
      <c r="H45" s="11">
        <v>84.06</v>
      </c>
      <c r="I45" s="70">
        <f>200000+24011</f>
        <v>224011</v>
      </c>
      <c r="J45" s="11">
        <f t="shared" si="24"/>
        <v>324011</v>
      </c>
      <c r="K45" s="9">
        <f t="shared" ref="K45:L45" si="26">J45*6/100+J45</f>
        <v>343451.66</v>
      </c>
      <c r="L45" s="11">
        <f t="shared" si="26"/>
        <v>364058.75959999999</v>
      </c>
    </row>
    <row r="46" spans="1:12" s="1" customFormat="1" ht="14.25" x14ac:dyDescent="0.2">
      <c r="A46" s="5" t="s">
        <v>733</v>
      </c>
      <c r="B46" s="7" t="s">
        <v>87</v>
      </c>
      <c r="C46" s="29">
        <v>80000</v>
      </c>
      <c r="D46" s="11">
        <v>0</v>
      </c>
      <c r="E46" s="9">
        <v>0</v>
      </c>
      <c r="F46" s="11">
        <v>78286.23</v>
      </c>
      <c r="G46" s="9">
        <f t="shared" si="25"/>
        <v>1713.7700000000041</v>
      </c>
      <c r="H46" s="11">
        <v>97.85</v>
      </c>
      <c r="I46" s="70">
        <v>40000</v>
      </c>
      <c r="J46" s="11">
        <f t="shared" si="24"/>
        <v>120000</v>
      </c>
      <c r="K46" s="9">
        <f t="shared" ref="K46:L46" si="27">J46*6/100+J46</f>
        <v>127200</v>
      </c>
      <c r="L46" s="11">
        <f t="shared" si="27"/>
        <v>134832</v>
      </c>
    </row>
    <row r="47" spans="1:12" s="1" customFormat="1" ht="14.25" x14ac:dyDescent="0.2">
      <c r="A47" s="5" t="s">
        <v>734</v>
      </c>
      <c r="B47" s="7" t="s">
        <v>95</v>
      </c>
      <c r="C47" s="29">
        <v>317400</v>
      </c>
      <c r="D47" s="11">
        <v>22503.46</v>
      </c>
      <c r="E47" s="9">
        <v>0</v>
      </c>
      <c r="F47" s="11">
        <v>146936.4</v>
      </c>
      <c r="G47" s="9">
        <f t="shared" si="25"/>
        <v>170463.6</v>
      </c>
      <c r="H47" s="11">
        <v>46.29</v>
      </c>
      <c r="I47" s="70">
        <v>0</v>
      </c>
      <c r="J47" s="11">
        <f t="shared" si="24"/>
        <v>317400</v>
      </c>
      <c r="K47" s="9">
        <f t="shared" ref="K47:L47" si="28">J47*6/100+J47</f>
        <v>336444</v>
      </c>
      <c r="L47" s="11">
        <f t="shared" si="28"/>
        <v>356630.64</v>
      </c>
    </row>
    <row r="48" spans="1:12" s="1" customFormat="1" ht="14.25" x14ac:dyDescent="0.2">
      <c r="A48" s="5" t="s">
        <v>735</v>
      </c>
      <c r="B48" s="7" t="s">
        <v>103</v>
      </c>
      <c r="C48" s="29">
        <v>137540</v>
      </c>
      <c r="D48" s="11">
        <v>9588</v>
      </c>
      <c r="E48" s="9">
        <v>0</v>
      </c>
      <c r="F48" s="11">
        <v>57528</v>
      </c>
      <c r="G48" s="9">
        <f t="shared" si="25"/>
        <v>80012</v>
      </c>
      <c r="H48" s="11">
        <v>41.82</v>
      </c>
      <c r="I48" s="70">
        <v>0</v>
      </c>
      <c r="J48" s="11">
        <f t="shared" si="24"/>
        <v>137540</v>
      </c>
      <c r="K48" s="9">
        <f t="shared" ref="K48:L48" si="29">J48*6/100+J48</f>
        <v>145792.4</v>
      </c>
      <c r="L48" s="11">
        <f t="shared" si="29"/>
        <v>154539.94399999999</v>
      </c>
    </row>
    <row r="49" spans="1:12" s="1" customFormat="1" ht="14.25" x14ac:dyDescent="0.2">
      <c r="A49" s="5" t="s">
        <v>736</v>
      </c>
      <c r="B49" s="7" t="s">
        <v>111</v>
      </c>
      <c r="C49" s="29">
        <v>750000</v>
      </c>
      <c r="D49" s="11">
        <v>0</v>
      </c>
      <c r="E49" s="9">
        <v>0</v>
      </c>
      <c r="F49" s="11">
        <v>395091.08</v>
      </c>
      <c r="G49" s="9">
        <f t="shared" si="25"/>
        <v>354908.92</v>
      </c>
      <c r="H49" s="11">
        <v>52.67</v>
      </c>
      <c r="I49" s="70">
        <v>0</v>
      </c>
      <c r="J49" s="11">
        <f t="shared" si="24"/>
        <v>750000</v>
      </c>
      <c r="K49" s="9">
        <f t="shared" ref="K49:L49" si="30">J49*6/100+J49</f>
        <v>795000</v>
      </c>
      <c r="L49" s="11">
        <f t="shared" si="30"/>
        <v>842700</v>
      </c>
    </row>
    <row r="50" spans="1:12" s="1" customFormat="1" ht="14.25" x14ac:dyDescent="0.2">
      <c r="A50" s="5" t="s">
        <v>737</v>
      </c>
      <c r="B50" s="7" t="s">
        <v>113</v>
      </c>
      <c r="C50" s="29">
        <v>500000</v>
      </c>
      <c r="D50" s="11">
        <v>0</v>
      </c>
      <c r="E50" s="9">
        <v>0</v>
      </c>
      <c r="F50" s="11">
        <v>0</v>
      </c>
      <c r="G50" s="9">
        <f t="shared" si="25"/>
        <v>500000</v>
      </c>
      <c r="H50" s="11">
        <v>0</v>
      </c>
      <c r="I50" s="70">
        <v>-500000</v>
      </c>
      <c r="J50" s="11">
        <f t="shared" si="24"/>
        <v>0</v>
      </c>
      <c r="K50" s="9">
        <v>0</v>
      </c>
      <c r="L50" s="11">
        <v>0</v>
      </c>
    </row>
    <row r="51" spans="1:12" s="1" customFormat="1" ht="14.25" x14ac:dyDescent="0.2">
      <c r="A51" s="5" t="s">
        <v>738</v>
      </c>
      <c r="B51" s="7" t="s">
        <v>117</v>
      </c>
      <c r="C51" s="29">
        <v>600000</v>
      </c>
      <c r="D51" s="11">
        <v>300985</v>
      </c>
      <c r="E51" s="9">
        <v>0</v>
      </c>
      <c r="F51" s="11">
        <v>421235</v>
      </c>
      <c r="G51" s="9">
        <f t="shared" si="25"/>
        <v>178765</v>
      </c>
      <c r="H51" s="11">
        <v>70.2</v>
      </c>
      <c r="I51" s="70">
        <v>500000</v>
      </c>
      <c r="J51" s="11">
        <f t="shared" si="24"/>
        <v>1100000</v>
      </c>
      <c r="K51" s="9">
        <v>0</v>
      </c>
      <c r="L51" s="11">
        <v>0</v>
      </c>
    </row>
    <row r="52" spans="1:12" s="1" customFormat="1" ht="14.25" x14ac:dyDescent="0.2">
      <c r="A52" s="5" t="s">
        <v>739</v>
      </c>
      <c r="B52" s="7" t="s">
        <v>119</v>
      </c>
      <c r="C52" s="29">
        <v>7037</v>
      </c>
      <c r="D52" s="11">
        <v>0</v>
      </c>
      <c r="E52" s="9">
        <v>0</v>
      </c>
      <c r="F52" s="11">
        <v>2192.98</v>
      </c>
      <c r="G52" s="9">
        <f t="shared" si="25"/>
        <v>4844.0200000000004</v>
      </c>
      <c r="H52" s="11">
        <v>31.16</v>
      </c>
      <c r="I52" s="70">
        <v>0</v>
      </c>
      <c r="J52" s="11">
        <f t="shared" si="24"/>
        <v>7037</v>
      </c>
      <c r="K52" s="9">
        <f t="shared" ref="K52:L53" si="31">J52*6/100+J52</f>
        <v>7459.22</v>
      </c>
      <c r="L52" s="11">
        <f t="shared" si="31"/>
        <v>7906.7732000000005</v>
      </c>
    </row>
    <row r="53" spans="1:12" s="1" customFormat="1" ht="14.25" x14ac:dyDescent="0.2">
      <c r="A53" s="5" t="s">
        <v>740</v>
      </c>
      <c r="B53" s="7" t="s">
        <v>126</v>
      </c>
      <c r="C53" s="29">
        <v>8500000</v>
      </c>
      <c r="D53" s="11">
        <v>726420.75</v>
      </c>
      <c r="E53" s="9">
        <v>0</v>
      </c>
      <c r="F53" s="11">
        <v>4131089.03</v>
      </c>
      <c r="G53" s="9">
        <f t="shared" si="25"/>
        <v>4368910.9700000007</v>
      </c>
      <c r="H53" s="11">
        <v>48.6</v>
      </c>
      <c r="I53" s="70">
        <v>0</v>
      </c>
      <c r="J53" s="11">
        <f t="shared" si="24"/>
        <v>8500000</v>
      </c>
      <c r="K53" s="9">
        <f t="shared" si="31"/>
        <v>9010000</v>
      </c>
      <c r="L53" s="11">
        <f t="shared" si="31"/>
        <v>9550600</v>
      </c>
    </row>
    <row r="54" spans="1:12" s="43" customFormat="1" ht="14.25" x14ac:dyDescent="0.2">
      <c r="A54" s="40" t="s">
        <v>741</v>
      </c>
      <c r="B54" s="41" t="s">
        <v>742</v>
      </c>
      <c r="C54" s="42">
        <v>124011</v>
      </c>
      <c r="D54" s="35">
        <v>0</v>
      </c>
      <c r="E54" s="33">
        <v>0</v>
      </c>
      <c r="F54" s="35">
        <v>0</v>
      </c>
      <c r="G54" s="33">
        <f t="shared" si="25"/>
        <v>124011</v>
      </c>
      <c r="H54" s="35">
        <v>0</v>
      </c>
      <c r="I54" s="72">
        <v>-124011</v>
      </c>
      <c r="J54" s="35">
        <f t="shared" si="24"/>
        <v>0</v>
      </c>
      <c r="K54" s="33">
        <v>0</v>
      </c>
      <c r="L54" s="35">
        <v>0</v>
      </c>
    </row>
    <row r="55" spans="1:12" s="1" customFormat="1" ht="14.25" x14ac:dyDescent="0.2">
      <c r="A55" s="5" t="s">
        <v>743</v>
      </c>
      <c r="B55" s="7" t="s">
        <v>133</v>
      </c>
      <c r="C55" s="29">
        <v>2890272</v>
      </c>
      <c r="D55" s="11">
        <v>211040.25</v>
      </c>
      <c r="E55" s="9">
        <v>0</v>
      </c>
      <c r="F55" s="11">
        <v>1270021.68</v>
      </c>
      <c r="G55" s="9">
        <f t="shared" si="25"/>
        <v>1620250.32</v>
      </c>
      <c r="H55" s="11">
        <v>43.94</v>
      </c>
      <c r="I55" s="70">
        <v>0</v>
      </c>
      <c r="J55" s="11">
        <f t="shared" si="24"/>
        <v>2890272</v>
      </c>
      <c r="K55" s="9">
        <f t="shared" ref="K55:L55" si="32">J55*6/100+J55</f>
        <v>3063688.32</v>
      </c>
      <c r="L55" s="11">
        <f t="shared" si="32"/>
        <v>3247509.6191999996</v>
      </c>
    </row>
    <row r="56" spans="1:12" s="1" customFormat="1" ht="14.25" x14ac:dyDescent="0.2">
      <c r="A56" s="5" t="s">
        <v>744</v>
      </c>
      <c r="B56" s="7" t="s">
        <v>149</v>
      </c>
      <c r="C56" s="29">
        <v>1000000</v>
      </c>
      <c r="D56" s="11">
        <v>0</v>
      </c>
      <c r="E56" s="9">
        <v>0</v>
      </c>
      <c r="F56" s="11">
        <v>839840.11</v>
      </c>
      <c r="G56" s="9">
        <f t="shared" si="25"/>
        <v>160159.89000000001</v>
      </c>
      <c r="H56" s="11">
        <v>83.98</v>
      </c>
      <c r="I56" s="70">
        <v>-110000</v>
      </c>
      <c r="J56" s="11">
        <f t="shared" ref="J56:J57" si="33">C56+I56</f>
        <v>890000</v>
      </c>
      <c r="K56" s="9">
        <f t="shared" ref="K56:L56" si="34">J56*6/100+J56</f>
        <v>943400</v>
      </c>
      <c r="L56" s="11">
        <f t="shared" si="34"/>
        <v>1000004</v>
      </c>
    </row>
    <row r="57" spans="1:12" s="1" customFormat="1" ht="14.25" x14ac:dyDescent="0.2">
      <c r="A57" s="5" t="s">
        <v>745</v>
      </c>
      <c r="B57" s="7" t="s">
        <v>151</v>
      </c>
      <c r="C57" s="29">
        <v>26450</v>
      </c>
      <c r="D57" s="11">
        <v>1378.77</v>
      </c>
      <c r="E57" s="9">
        <v>0</v>
      </c>
      <c r="F57" s="11">
        <v>18046.93</v>
      </c>
      <c r="G57" s="9">
        <f t="shared" si="25"/>
        <v>8403.07</v>
      </c>
      <c r="H57" s="11">
        <v>68.23</v>
      </c>
      <c r="I57" s="70">
        <v>0</v>
      </c>
      <c r="J57" s="11">
        <f t="shared" si="33"/>
        <v>26450</v>
      </c>
      <c r="K57" s="9">
        <f t="shared" ref="K57:L59" si="35">J57*6/100+J57</f>
        <v>28037</v>
      </c>
      <c r="L57" s="11">
        <f t="shared" si="35"/>
        <v>29719.22</v>
      </c>
    </row>
    <row r="58" spans="1:12" s="1" customFormat="1" ht="14.25" x14ac:dyDescent="0.2">
      <c r="A58" s="5" t="s">
        <v>746</v>
      </c>
      <c r="B58" s="7" t="s">
        <v>217</v>
      </c>
      <c r="C58" s="29">
        <v>2000</v>
      </c>
      <c r="D58" s="11">
        <v>0</v>
      </c>
      <c r="E58" s="9">
        <v>0</v>
      </c>
      <c r="F58" s="11">
        <v>1993</v>
      </c>
      <c r="G58" s="9">
        <f t="shared" si="25"/>
        <v>7</v>
      </c>
      <c r="H58" s="11">
        <v>99.65</v>
      </c>
      <c r="I58" s="70">
        <v>0</v>
      </c>
      <c r="J58" s="11">
        <f t="shared" ref="J58:J68" si="36">C58+I58</f>
        <v>2000</v>
      </c>
      <c r="K58" s="9">
        <f t="shared" si="35"/>
        <v>2120</v>
      </c>
      <c r="L58" s="11">
        <f t="shared" si="35"/>
        <v>2247.1999999999998</v>
      </c>
    </row>
    <row r="59" spans="1:12" s="1" customFormat="1" ht="14.25" x14ac:dyDescent="0.2">
      <c r="A59" s="5" t="s">
        <v>747</v>
      </c>
      <c r="B59" s="7" t="s">
        <v>228</v>
      </c>
      <c r="C59" s="29">
        <v>470000</v>
      </c>
      <c r="D59" s="11">
        <v>0</v>
      </c>
      <c r="E59" s="9">
        <v>0</v>
      </c>
      <c r="F59" s="11">
        <v>0</v>
      </c>
      <c r="G59" s="9">
        <f t="shared" si="25"/>
        <v>470000</v>
      </c>
      <c r="H59" s="11">
        <v>0</v>
      </c>
      <c r="I59" s="70">
        <v>258376</v>
      </c>
      <c r="J59" s="11">
        <f t="shared" si="36"/>
        <v>728376</v>
      </c>
      <c r="K59" s="9">
        <f t="shared" si="35"/>
        <v>772078.56</v>
      </c>
      <c r="L59" s="11">
        <f t="shared" si="35"/>
        <v>818403.27360000007</v>
      </c>
    </row>
    <row r="60" spans="1:12" s="1" customFormat="1" ht="14.25" x14ac:dyDescent="0.2">
      <c r="A60" s="5" t="s">
        <v>748</v>
      </c>
      <c r="B60" s="7" t="s">
        <v>230</v>
      </c>
      <c r="C60" s="29">
        <v>330000</v>
      </c>
      <c r="D60" s="11">
        <v>0</v>
      </c>
      <c r="E60" s="9">
        <v>0</v>
      </c>
      <c r="F60" s="11">
        <v>0</v>
      </c>
      <c r="G60" s="9">
        <f t="shared" si="25"/>
        <v>330000</v>
      </c>
      <c r="H60" s="11">
        <v>0</v>
      </c>
      <c r="I60" s="70">
        <f>-258376+50200</f>
        <v>-208176</v>
      </c>
      <c r="J60" s="11">
        <f t="shared" si="36"/>
        <v>121824</v>
      </c>
      <c r="K60" s="9">
        <v>0</v>
      </c>
      <c r="L60" s="11">
        <v>0</v>
      </c>
    </row>
    <row r="61" spans="1:12" s="43" customFormat="1" ht="14.25" x14ac:dyDescent="0.2">
      <c r="A61" s="40" t="s">
        <v>749</v>
      </c>
      <c r="B61" s="41" t="s">
        <v>232</v>
      </c>
      <c r="C61" s="42">
        <v>500000</v>
      </c>
      <c r="D61" s="35">
        <v>0</v>
      </c>
      <c r="E61" s="33">
        <v>0</v>
      </c>
      <c r="F61" s="35">
        <v>0</v>
      </c>
      <c r="G61" s="33">
        <f t="shared" si="25"/>
        <v>500000</v>
      </c>
      <c r="H61" s="35">
        <v>0</v>
      </c>
      <c r="I61" s="72">
        <f>-74011+-350000</f>
        <v>-424011</v>
      </c>
      <c r="J61" s="35">
        <f t="shared" si="36"/>
        <v>75989</v>
      </c>
      <c r="K61" s="33">
        <v>1500000</v>
      </c>
      <c r="L61" s="35">
        <v>500000</v>
      </c>
    </row>
    <row r="62" spans="1:12" s="1" customFormat="1" ht="14.25" x14ac:dyDescent="0.2">
      <c r="A62" s="5" t="s">
        <v>750</v>
      </c>
      <c r="B62" s="7" t="s">
        <v>242</v>
      </c>
      <c r="C62" s="29">
        <v>634800</v>
      </c>
      <c r="D62" s="11">
        <v>94276</v>
      </c>
      <c r="E62" s="9">
        <v>32575.439999999999</v>
      </c>
      <c r="F62" s="11">
        <v>406924.09</v>
      </c>
      <c r="G62" s="9">
        <f t="shared" si="25"/>
        <v>195300.47000000003</v>
      </c>
      <c r="H62" s="11">
        <v>64.099999999999994</v>
      </c>
      <c r="I62" s="70">
        <v>88872</v>
      </c>
      <c r="J62" s="11">
        <f t="shared" si="36"/>
        <v>723672</v>
      </c>
      <c r="K62" s="9">
        <f t="shared" ref="K62:L64" si="37">J62*6/100+J62</f>
        <v>767092.32</v>
      </c>
      <c r="L62" s="11">
        <f t="shared" si="37"/>
        <v>813117.85919999995</v>
      </c>
    </row>
    <row r="63" spans="1:12" s="1" customFormat="1" ht="14.25" x14ac:dyDescent="0.2">
      <c r="A63" s="5" t="s">
        <v>751</v>
      </c>
      <c r="B63" s="7" t="s">
        <v>256</v>
      </c>
      <c r="C63" s="29">
        <v>300000</v>
      </c>
      <c r="D63" s="11">
        <v>68606.649999999994</v>
      </c>
      <c r="E63" s="9">
        <v>0</v>
      </c>
      <c r="F63" s="11">
        <v>88841.39</v>
      </c>
      <c r="G63" s="9">
        <f t="shared" si="25"/>
        <v>211158.61</v>
      </c>
      <c r="H63" s="11">
        <v>29.61</v>
      </c>
      <c r="I63" s="70">
        <v>76608</v>
      </c>
      <c r="J63" s="11">
        <f t="shared" si="36"/>
        <v>376608</v>
      </c>
      <c r="K63" s="9">
        <f t="shared" si="37"/>
        <v>399204.48</v>
      </c>
      <c r="L63" s="11">
        <f t="shared" si="37"/>
        <v>423156.7488</v>
      </c>
    </row>
    <row r="64" spans="1:12" s="1" customFormat="1" ht="14.25" x14ac:dyDescent="0.2">
      <c r="A64" s="5" t="s">
        <v>752</v>
      </c>
      <c r="B64" s="7" t="s">
        <v>262</v>
      </c>
      <c r="C64" s="29">
        <v>15000</v>
      </c>
      <c r="D64" s="11">
        <v>0</v>
      </c>
      <c r="E64" s="9">
        <v>0</v>
      </c>
      <c r="F64" s="11">
        <v>0</v>
      </c>
      <c r="G64" s="9">
        <f t="shared" si="25"/>
        <v>15000</v>
      </c>
      <c r="H64" s="11">
        <v>0</v>
      </c>
      <c r="I64" s="70">
        <v>0</v>
      </c>
      <c r="J64" s="11">
        <f t="shared" si="36"/>
        <v>15000</v>
      </c>
      <c r="K64" s="9">
        <f t="shared" si="37"/>
        <v>15900</v>
      </c>
      <c r="L64" s="11">
        <f t="shared" si="37"/>
        <v>16854</v>
      </c>
    </row>
    <row r="65" spans="1:12" s="1" customFormat="1" ht="14.25" x14ac:dyDescent="0.2">
      <c r="A65" s="5" t="s">
        <v>753</v>
      </c>
      <c r="B65" s="7" t="s">
        <v>264</v>
      </c>
      <c r="C65" s="29">
        <v>1450000</v>
      </c>
      <c r="D65" s="11">
        <v>0</v>
      </c>
      <c r="E65" s="9">
        <v>0</v>
      </c>
      <c r="F65" s="11">
        <v>0</v>
      </c>
      <c r="G65" s="9">
        <f t="shared" si="25"/>
        <v>1450000</v>
      </c>
      <c r="H65" s="11">
        <v>0</v>
      </c>
      <c r="I65" s="70">
        <v>0</v>
      </c>
      <c r="J65" s="11">
        <f t="shared" si="36"/>
        <v>1450000</v>
      </c>
      <c r="K65" s="9">
        <v>0</v>
      </c>
      <c r="L65" s="11">
        <f t="shared" ref="L65" si="38">K65*6/100+K65</f>
        <v>0</v>
      </c>
    </row>
    <row r="66" spans="1:12" s="1" customFormat="1" ht="14.25" x14ac:dyDescent="0.2">
      <c r="A66" s="5" t="s">
        <v>754</v>
      </c>
      <c r="B66" s="7" t="s">
        <v>266</v>
      </c>
      <c r="C66" s="29">
        <v>200000</v>
      </c>
      <c r="D66" s="11">
        <v>10000</v>
      </c>
      <c r="E66" s="9">
        <v>0</v>
      </c>
      <c r="F66" s="11">
        <v>71403.509999999995</v>
      </c>
      <c r="G66" s="9">
        <f t="shared" si="25"/>
        <v>128596.49</v>
      </c>
      <c r="H66" s="11">
        <v>35.700000000000003</v>
      </c>
      <c r="I66" s="70">
        <v>-50200</v>
      </c>
      <c r="J66" s="11">
        <f t="shared" si="36"/>
        <v>149800</v>
      </c>
      <c r="K66" s="9">
        <f t="shared" ref="K66:L66" si="39">J66*6/100+J66</f>
        <v>158788</v>
      </c>
      <c r="L66" s="11">
        <f t="shared" si="39"/>
        <v>168315.28</v>
      </c>
    </row>
    <row r="67" spans="1:12" s="1" customFormat="1" ht="14.25" x14ac:dyDescent="0.2">
      <c r="A67" s="5" t="s">
        <v>755</v>
      </c>
      <c r="B67" s="7" t="s">
        <v>706</v>
      </c>
      <c r="C67" s="29">
        <v>3170280</v>
      </c>
      <c r="D67" s="11">
        <v>0</v>
      </c>
      <c r="E67" s="9">
        <v>0</v>
      </c>
      <c r="F67" s="11">
        <v>0</v>
      </c>
      <c r="G67" s="9">
        <f t="shared" si="25"/>
        <v>3170280</v>
      </c>
      <c r="H67" s="11">
        <v>0</v>
      </c>
      <c r="I67" s="70">
        <v>2829720</v>
      </c>
      <c r="J67" s="11">
        <f t="shared" si="36"/>
        <v>6000000</v>
      </c>
      <c r="K67" s="9">
        <f t="shared" ref="K67:L67" si="40">J67*6/100+J67</f>
        <v>6360000</v>
      </c>
      <c r="L67" s="11">
        <f t="shared" si="40"/>
        <v>6741600</v>
      </c>
    </row>
    <row r="68" spans="1:12" s="1" customFormat="1" ht="14.25" x14ac:dyDescent="0.2">
      <c r="A68" s="5" t="s">
        <v>756</v>
      </c>
      <c r="B68" s="7" t="s">
        <v>286</v>
      </c>
      <c r="C68" s="29">
        <v>110498</v>
      </c>
      <c r="D68" s="11">
        <v>0</v>
      </c>
      <c r="E68" s="9">
        <v>0</v>
      </c>
      <c r="F68" s="11">
        <v>96491.23</v>
      </c>
      <c r="G68" s="9">
        <f t="shared" si="25"/>
        <v>14006.770000000004</v>
      </c>
      <c r="H68" s="11">
        <v>87.32</v>
      </c>
      <c r="I68" s="70">
        <v>400000</v>
      </c>
      <c r="J68" s="11">
        <f t="shared" si="36"/>
        <v>510498</v>
      </c>
      <c r="K68" s="9">
        <f t="shared" ref="K68:L68" si="41">J68*6/100+J68</f>
        <v>541127.88</v>
      </c>
      <c r="L68" s="11">
        <f t="shared" si="41"/>
        <v>573595.55280000006</v>
      </c>
    </row>
    <row r="69" spans="1:12" s="1" customFormat="1" ht="14.25" x14ac:dyDescent="0.2">
      <c r="A69" s="5"/>
      <c r="B69" s="7"/>
      <c r="C69" s="29"/>
      <c r="D69" s="11"/>
      <c r="E69" s="9"/>
      <c r="F69" s="11"/>
      <c r="G69" s="9"/>
      <c r="H69" s="11">
        <v>0</v>
      </c>
      <c r="I69" s="70"/>
      <c r="J69" s="11"/>
      <c r="K69" s="9"/>
      <c r="L69" s="11"/>
    </row>
    <row r="70" spans="1:12" s="3" customFormat="1" x14ac:dyDescent="0.25">
      <c r="A70" s="18"/>
      <c r="B70" s="19" t="s">
        <v>287</v>
      </c>
      <c r="C70" s="28">
        <f>SUM(C44:C69)</f>
        <v>22215288</v>
      </c>
      <c r="D70" s="36">
        <f>SUM(D44:D69)</f>
        <v>1444798.88</v>
      </c>
      <c r="E70" s="28">
        <f>SUM(E44:E69)</f>
        <v>32575.439999999999</v>
      </c>
      <c r="F70" s="36">
        <f>SUM(F44:F69)</f>
        <v>8109983.1199999992</v>
      </c>
      <c r="G70" s="28">
        <f>SUM(G44:G69)</f>
        <v>14072729.440000001</v>
      </c>
      <c r="H70" s="21">
        <v>36.5</v>
      </c>
      <c r="I70" s="71">
        <f>SUM(I44:I68)</f>
        <v>3001189</v>
      </c>
      <c r="J70" s="36">
        <f>C70+I70</f>
        <v>25216477</v>
      </c>
      <c r="K70" s="28">
        <f>SUM(K44:K69)</f>
        <v>25316783.84</v>
      </c>
      <c r="L70" s="36">
        <f>SUM(L44:L69)</f>
        <v>25745790.8704</v>
      </c>
    </row>
    <row r="71" spans="1:12" s="1" customFormat="1" ht="14.25" x14ac:dyDescent="0.2">
      <c r="A71" s="5"/>
      <c r="B71" s="7"/>
      <c r="C71" s="29"/>
      <c r="D71" s="11"/>
      <c r="E71" s="9"/>
      <c r="F71" s="11"/>
      <c r="G71" s="9"/>
      <c r="H71" s="11">
        <v>0</v>
      </c>
      <c r="I71" s="70"/>
      <c r="J71" s="11"/>
      <c r="K71" s="9"/>
      <c r="L71" s="11"/>
    </row>
    <row r="72" spans="1:12" s="3" customFormat="1" x14ac:dyDescent="0.25">
      <c r="A72" s="18"/>
      <c r="B72" s="19" t="s">
        <v>292</v>
      </c>
      <c r="C72" s="28">
        <f>C70</f>
        <v>22215288</v>
      </c>
      <c r="D72" s="36">
        <f t="shared" ref="D72:G72" si="42">D70</f>
        <v>1444798.88</v>
      </c>
      <c r="E72" s="28">
        <f t="shared" si="42"/>
        <v>32575.439999999999</v>
      </c>
      <c r="F72" s="36">
        <f t="shared" si="42"/>
        <v>8109983.1199999992</v>
      </c>
      <c r="G72" s="28">
        <f t="shared" si="42"/>
        <v>14072729.440000001</v>
      </c>
      <c r="H72" s="21">
        <v>36.5</v>
      </c>
      <c r="I72" s="71">
        <f t="shared" ref="I72:L72" si="43">I70</f>
        <v>3001189</v>
      </c>
      <c r="J72" s="36">
        <f t="shared" si="43"/>
        <v>25216477</v>
      </c>
      <c r="K72" s="28">
        <f t="shared" si="43"/>
        <v>25316783.84</v>
      </c>
      <c r="L72" s="36">
        <f t="shared" si="43"/>
        <v>25745790.8704</v>
      </c>
    </row>
    <row r="73" spans="1:12" s="3" customFormat="1" x14ac:dyDescent="0.25">
      <c r="A73" s="18"/>
      <c r="B73" s="19"/>
      <c r="C73" s="28"/>
      <c r="D73" s="21"/>
      <c r="E73" s="20"/>
      <c r="F73" s="21"/>
      <c r="G73" s="20"/>
      <c r="H73" s="21">
        <v>0</v>
      </c>
      <c r="I73" s="69"/>
      <c r="J73" s="21"/>
      <c r="K73" s="20"/>
      <c r="L73" s="21"/>
    </row>
    <row r="74" spans="1:12" s="3" customFormat="1" x14ac:dyDescent="0.25">
      <c r="A74" s="18"/>
      <c r="B74" s="19" t="s">
        <v>324</v>
      </c>
      <c r="C74" s="28"/>
      <c r="D74" s="21"/>
      <c r="E74" s="20"/>
      <c r="F74" s="21"/>
      <c r="G74" s="20"/>
      <c r="H74" s="21">
        <v>0</v>
      </c>
      <c r="I74" s="69"/>
      <c r="J74" s="21"/>
      <c r="K74" s="20"/>
      <c r="L74" s="21"/>
    </row>
    <row r="75" spans="1:12" s="3" customFormat="1" x14ac:dyDescent="0.25">
      <c r="A75" s="18"/>
      <c r="B75" s="19"/>
      <c r="C75" s="28"/>
      <c r="D75" s="21"/>
      <c r="E75" s="20"/>
      <c r="F75" s="21"/>
      <c r="G75" s="20"/>
      <c r="H75" s="21">
        <v>0</v>
      </c>
      <c r="I75" s="69"/>
      <c r="J75" s="21"/>
      <c r="K75" s="20"/>
      <c r="L75" s="21"/>
    </row>
    <row r="76" spans="1:12" s="1" customFormat="1" ht="14.25" x14ac:dyDescent="0.2">
      <c r="A76" s="5" t="s">
        <v>757</v>
      </c>
      <c r="B76" s="7" t="s">
        <v>758</v>
      </c>
      <c r="C76" s="29">
        <v>0</v>
      </c>
      <c r="D76" s="11">
        <v>25579.8</v>
      </c>
      <c r="E76" s="9">
        <v>0</v>
      </c>
      <c r="F76" s="11">
        <v>182247.5</v>
      </c>
      <c r="G76" s="9">
        <f t="shared" ref="G76:G78" si="44">C76-E76-F76</f>
        <v>-182247.5</v>
      </c>
      <c r="H76" s="11">
        <v>0</v>
      </c>
      <c r="I76" s="70">
        <v>200000</v>
      </c>
      <c r="J76" s="11">
        <f>C76+I76</f>
        <v>200000</v>
      </c>
      <c r="K76" s="9">
        <v>0</v>
      </c>
      <c r="L76" s="11">
        <v>0</v>
      </c>
    </row>
    <row r="77" spans="1:12" s="1" customFormat="1" ht="14.25" x14ac:dyDescent="0.2">
      <c r="A77" s="5" t="s">
        <v>759</v>
      </c>
      <c r="B77" s="7" t="s">
        <v>760</v>
      </c>
      <c r="C77" s="29">
        <v>0</v>
      </c>
      <c r="D77" s="11">
        <v>1003.51</v>
      </c>
      <c r="E77" s="9">
        <v>0</v>
      </c>
      <c r="F77" s="11">
        <v>6021.06</v>
      </c>
      <c r="G77" s="9">
        <f t="shared" si="44"/>
        <v>-6021.06</v>
      </c>
      <c r="H77" s="11">
        <v>0</v>
      </c>
      <c r="I77" s="70">
        <v>10000</v>
      </c>
      <c r="J77" s="11">
        <f>C77+I77</f>
        <v>10000</v>
      </c>
      <c r="K77" s="9">
        <v>0</v>
      </c>
      <c r="L77" s="11">
        <v>0</v>
      </c>
    </row>
    <row r="78" spans="1:12" s="1" customFormat="1" ht="14.25" x14ac:dyDescent="0.2">
      <c r="A78" s="5" t="s">
        <v>761</v>
      </c>
      <c r="B78" s="7" t="s">
        <v>762</v>
      </c>
      <c r="C78" s="29">
        <v>0</v>
      </c>
      <c r="D78" s="11">
        <v>9731.64</v>
      </c>
      <c r="E78" s="9">
        <v>0</v>
      </c>
      <c r="F78" s="11">
        <v>30338.59</v>
      </c>
      <c r="G78" s="9">
        <f t="shared" si="44"/>
        <v>-30338.59</v>
      </c>
      <c r="H78" s="11">
        <v>0</v>
      </c>
      <c r="I78" s="70">
        <v>40000</v>
      </c>
      <c r="J78" s="11">
        <f>C78+I78</f>
        <v>40000</v>
      </c>
      <c r="K78" s="9">
        <v>0</v>
      </c>
      <c r="L78" s="11">
        <v>0</v>
      </c>
    </row>
    <row r="79" spans="1:12" s="1" customFormat="1" ht="14.25" x14ac:dyDescent="0.2">
      <c r="A79" s="5"/>
      <c r="B79" s="7"/>
      <c r="C79" s="29"/>
      <c r="D79" s="11"/>
      <c r="E79" s="9"/>
      <c r="F79" s="11"/>
      <c r="G79" s="9"/>
      <c r="H79" s="11">
        <v>0</v>
      </c>
      <c r="I79" s="70"/>
      <c r="J79" s="11">
        <f>C79+I79</f>
        <v>0</v>
      </c>
      <c r="K79" s="9"/>
      <c r="L79" s="11"/>
    </row>
    <row r="80" spans="1:12" s="3" customFormat="1" x14ac:dyDescent="0.25">
      <c r="A80" s="18"/>
      <c r="B80" s="19" t="s">
        <v>334</v>
      </c>
      <c r="C80" s="28">
        <f>SUM(C76:C79)</f>
        <v>0</v>
      </c>
      <c r="D80" s="36">
        <f t="shared" ref="D80:G80" si="45">SUM(D76:D79)</f>
        <v>36314.949999999997</v>
      </c>
      <c r="E80" s="28">
        <f t="shared" si="45"/>
        <v>0</v>
      </c>
      <c r="F80" s="36">
        <f t="shared" si="45"/>
        <v>218607.15</v>
      </c>
      <c r="G80" s="28">
        <f t="shared" si="45"/>
        <v>-218607.15</v>
      </c>
      <c r="H80" s="21">
        <v>0</v>
      </c>
      <c r="I80" s="71">
        <f t="shared" ref="I80:L80" si="46">SUM(I76:I79)</f>
        <v>250000</v>
      </c>
      <c r="J80" s="36">
        <f t="shared" si="46"/>
        <v>250000</v>
      </c>
      <c r="K80" s="28">
        <f t="shared" si="46"/>
        <v>0</v>
      </c>
      <c r="L80" s="36">
        <f t="shared" si="46"/>
        <v>0</v>
      </c>
    </row>
    <row r="81" spans="1:12" s="3" customFormat="1" x14ac:dyDescent="0.25">
      <c r="A81" s="18"/>
      <c r="B81" s="19"/>
      <c r="C81" s="28"/>
      <c r="D81" s="21"/>
      <c r="E81" s="20"/>
      <c r="F81" s="21"/>
      <c r="G81" s="20"/>
      <c r="H81" s="21">
        <v>0</v>
      </c>
      <c r="I81" s="69"/>
      <c r="J81" s="21"/>
      <c r="K81" s="20"/>
      <c r="L81" s="21"/>
    </row>
    <row r="82" spans="1:12" s="3" customFormat="1" x14ac:dyDescent="0.25">
      <c r="A82" s="18"/>
      <c r="B82" s="19" t="s">
        <v>120</v>
      </c>
      <c r="C82" s="28"/>
      <c r="D82" s="21"/>
      <c r="E82" s="20"/>
      <c r="F82" s="21"/>
      <c r="G82" s="20"/>
      <c r="H82" s="21">
        <v>0</v>
      </c>
      <c r="I82" s="69"/>
      <c r="J82" s="21"/>
      <c r="K82" s="20"/>
      <c r="L82" s="21"/>
    </row>
    <row r="83" spans="1:12" s="3" customFormat="1" x14ac:dyDescent="0.25">
      <c r="A83" s="18"/>
      <c r="B83" s="19"/>
      <c r="C83" s="28"/>
      <c r="D83" s="21"/>
      <c r="E83" s="20"/>
      <c r="F83" s="21"/>
      <c r="G83" s="20"/>
      <c r="H83" s="21">
        <v>0</v>
      </c>
      <c r="I83" s="69"/>
      <c r="J83" s="21"/>
      <c r="K83" s="20"/>
      <c r="L83" s="21"/>
    </row>
    <row r="84" spans="1:12" s="1" customFormat="1" ht="14.25" x14ac:dyDescent="0.2">
      <c r="A84" s="5" t="s">
        <v>763</v>
      </c>
      <c r="B84" s="7" t="s">
        <v>336</v>
      </c>
      <c r="C84" s="29">
        <v>4232000</v>
      </c>
      <c r="D84" s="35">
        <f>'[4]C4-FinPerf RE'!$F$29</f>
        <v>807154</v>
      </c>
      <c r="E84" s="33">
        <v>0</v>
      </c>
      <c r="F84" s="35">
        <f>'[4]C4-FinPerf RE'!$G$29</f>
        <v>4564783</v>
      </c>
      <c r="G84" s="9">
        <f t="shared" ref="G84" si="47">C84-E84-F84</f>
        <v>-332783</v>
      </c>
      <c r="H84" s="11">
        <v>0</v>
      </c>
      <c r="I84" s="70">
        <v>3768000</v>
      </c>
      <c r="J84" s="11">
        <f>C84+I84</f>
        <v>8000000</v>
      </c>
      <c r="K84" s="9">
        <f t="shared" ref="K84:L84" si="48">J84*6/100+J84</f>
        <v>8480000</v>
      </c>
      <c r="L84" s="11">
        <f t="shared" si="48"/>
        <v>8988800</v>
      </c>
    </row>
    <row r="85" spans="1:12" s="1" customFormat="1" ht="14.25" x14ac:dyDescent="0.2">
      <c r="A85" s="5"/>
      <c r="B85" s="7"/>
      <c r="C85" s="29"/>
      <c r="D85" s="11"/>
      <c r="E85" s="9"/>
      <c r="F85" s="11"/>
      <c r="G85" s="9"/>
      <c r="H85" s="11"/>
      <c r="I85" s="70"/>
      <c r="J85" s="11"/>
      <c r="K85" s="9"/>
      <c r="L85" s="11"/>
    </row>
    <row r="86" spans="1:12" s="3" customFormat="1" x14ac:dyDescent="0.25">
      <c r="A86" s="18"/>
      <c r="B86" s="19" t="s">
        <v>337</v>
      </c>
      <c r="C86" s="28">
        <f>SUM(C84:C85)</f>
        <v>4232000</v>
      </c>
      <c r="D86" s="36">
        <f t="shared" ref="D86:G86" si="49">SUM(D84:D85)</f>
        <v>807154</v>
      </c>
      <c r="E86" s="28">
        <f t="shared" si="49"/>
        <v>0</v>
      </c>
      <c r="F86" s="36">
        <f t="shared" si="49"/>
        <v>4564783</v>
      </c>
      <c r="G86" s="28">
        <f t="shared" si="49"/>
        <v>-332783</v>
      </c>
      <c r="H86" s="21">
        <v>0</v>
      </c>
      <c r="I86" s="71">
        <f t="shared" ref="I86:L86" si="50">SUM(I84:I85)</f>
        <v>3768000</v>
      </c>
      <c r="J86" s="36">
        <f t="shared" si="50"/>
        <v>8000000</v>
      </c>
      <c r="K86" s="28">
        <f t="shared" si="50"/>
        <v>8480000</v>
      </c>
      <c r="L86" s="36">
        <f t="shared" si="50"/>
        <v>8988800</v>
      </c>
    </row>
    <row r="87" spans="1:12" s="3" customFormat="1" x14ac:dyDescent="0.25">
      <c r="A87" s="18"/>
      <c r="B87" s="19"/>
      <c r="C87" s="28"/>
      <c r="D87" s="21"/>
      <c r="E87" s="20"/>
      <c r="F87" s="21"/>
      <c r="G87" s="20"/>
      <c r="H87" s="21"/>
      <c r="I87" s="69"/>
      <c r="J87" s="21"/>
      <c r="K87" s="20"/>
      <c r="L87" s="21"/>
    </row>
    <row r="88" spans="1:12" s="3" customFormat="1" x14ac:dyDescent="0.25">
      <c r="A88" s="18"/>
      <c r="B88" s="19" t="s">
        <v>338</v>
      </c>
      <c r="C88" s="28">
        <f>C38+C72+C80+C86</f>
        <v>35678565</v>
      </c>
      <c r="D88" s="36">
        <f>D38+D72+D80+D86</f>
        <v>3089433.3000000003</v>
      </c>
      <c r="E88" s="28">
        <f>E38+E72+E80+E86</f>
        <v>32575.439999999999</v>
      </c>
      <c r="F88" s="36">
        <f>F38+F72+F80+F86</f>
        <v>17416341.689999998</v>
      </c>
      <c r="G88" s="28">
        <f>G38+G72+G80+G86</f>
        <v>18229647.870000005</v>
      </c>
      <c r="H88" s="21">
        <v>36.020000000000003</v>
      </c>
      <c r="I88" s="71">
        <f>I38+I72+I80+I86</f>
        <v>7040109.7999999998</v>
      </c>
      <c r="J88" s="36">
        <f>C88+I88</f>
        <v>42718674.799999997</v>
      </c>
      <c r="K88" s="28">
        <f>K38+K72+K80+K86</f>
        <v>43661317.988000005</v>
      </c>
      <c r="L88" s="36">
        <f>L38+L72+L80+L86</f>
        <v>45166997.067280002</v>
      </c>
    </row>
    <row r="89" spans="1:12" s="3" customFormat="1" x14ac:dyDescent="0.25">
      <c r="A89" s="18"/>
      <c r="B89" s="19"/>
      <c r="C89" s="28"/>
      <c r="D89" s="21"/>
      <c r="E89" s="20"/>
      <c r="F89" s="21"/>
      <c r="G89" s="20"/>
      <c r="H89" s="21">
        <v>0</v>
      </c>
      <c r="I89" s="69"/>
      <c r="J89" s="21"/>
      <c r="K89" s="20"/>
      <c r="L89" s="21"/>
    </row>
    <row r="90" spans="1:12" s="3" customFormat="1" x14ac:dyDescent="0.25">
      <c r="A90" s="18"/>
      <c r="B90" s="19" t="s">
        <v>339</v>
      </c>
      <c r="C90" s="28">
        <f>C88</f>
        <v>35678565</v>
      </c>
      <c r="D90" s="36">
        <f t="shared" ref="D90:G90" si="51">D88</f>
        <v>3089433.3000000003</v>
      </c>
      <c r="E90" s="28">
        <f t="shared" si="51"/>
        <v>32575.439999999999</v>
      </c>
      <c r="F90" s="36">
        <f t="shared" si="51"/>
        <v>17416341.689999998</v>
      </c>
      <c r="G90" s="28">
        <f t="shared" si="51"/>
        <v>18229647.870000005</v>
      </c>
      <c r="H90" s="21">
        <v>36.020000000000003</v>
      </c>
      <c r="I90" s="71">
        <f t="shared" ref="I90:L90" si="52">I88</f>
        <v>7040109.7999999998</v>
      </c>
      <c r="J90" s="36">
        <f t="shared" si="52"/>
        <v>42718674.799999997</v>
      </c>
      <c r="K90" s="28">
        <f t="shared" si="52"/>
        <v>43661317.988000005</v>
      </c>
      <c r="L90" s="36">
        <f t="shared" si="52"/>
        <v>45166997.067280002</v>
      </c>
    </row>
    <row r="91" spans="1:12" s="3" customFormat="1" x14ac:dyDescent="0.25">
      <c r="A91" s="18"/>
      <c r="B91" s="19"/>
      <c r="C91" s="28"/>
      <c r="D91" s="21"/>
      <c r="E91" s="20"/>
      <c r="F91" s="21"/>
      <c r="G91" s="20"/>
      <c r="H91" s="21">
        <v>0</v>
      </c>
      <c r="I91" s="69"/>
      <c r="J91" s="21"/>
      <c r="K91" s="20"/>
      <c r="L91" s="21"/>
    </row>
    <row r="92" spans="1:12" s="3" customFormat="1" x14ac:dyDescent="0.25">
      <c r="A92" s="18"/>
      <c r="B92" s="19" t="s">
        <v>340</v>
      </c>
      <c r="C92" s="28"/>
      <c r="D92" s="21"/>
      <c r="E92" s="20"/>
      <c r="F92" s="21"/>
      <c r="G92" s="20"/>
      <c r="H92" s="21">
        <v>0</v>
      </c>
      <c r="I92" s="69"/>
      <c r="J92" s="21"/>
      <c r="K92" s="20"/>
      <c r="L92" s="21"/>
    </row>
    <row r="93" spans="1:12" s="3" customFormat="1" x14ac:dyDescent="0.25">
      <c r="A93" s="18"/>
      <c r="B93" s="19"/>
      <c r="C93" s="28"/>
      <c r="D93" s="21"/>
      <c r="E93" s="20"/>
      <c r="F93" s="21"/>
      <c r="G93" s="20"/>
      <c r="H93" s="21">
        <v>0</v>
      </c>
      <c r="I93" s="69"/>
      <c r="J93" s="21"/>
      <c r="K93" s="20"/>
      <c r="L93" s="21"/>
    </row>
    <row r="94" spans="1:12" s="3" customFormat="1" x14ac:dyDescent="0.25">
      <c r="A94" s="18"/>
      <c r="B94" s="19" t="s">
        <v>341</v>
      </c>
      <c r="C94" s="28"/>
      <c r="D94" s="21"/>
      <c r="E94" s="20"/>
      <c r="F94" s="21"/>
      <c r="G94" s="20"/>
      <c r="H94" s="21">
        <v>0</v>
      </c>
      <c r="I94" s="69"/>
      <c r="J94" s="21"/>
      <c r="K94" s="20"/>
      <c r="L94" s="21"/>
    </row>
    <row r="95" spans="1:12" s="3" customFormat="1" x14ac:dyDescent="0.25">
      <c r="A95" s="18"/>
      <c r="B95" s="19"/>
      <c r="C95" s="28"/>
      <c r="D95" s="21"/>
      <c r="E95" s="20"/>
      <c r="F95" s="21"/>
      <c r="G95" s="20"/>
      <c r="H95" s="21">
        <v>0</v>
      </c>
      <c r="I95" s="69"/>
      <c r="J95" s="21"/>
      <c r="K95" s="20"/>
      <c r="L95" s="21"/>
    </row>
    <row r="96" spans="1:12" s="1" customFormat="1" ht="14.25" x14ac:dyDescent="0.2">
      <c r="A96" s="5" t="s">
        <v>764</v>
      </c>
      <c r="B96" s="7" t="s">
        <v>707</v>
      </c>
      <c r="C96" s="29">
        <v>-10866049</v>
      </c>
      <c r="D96" s="11">
        <v>-901583.08</v>
      </c>
      <c r="E96" s="9">
        <v>0</v>
      </c>
      <c r="F96" s="11">
        <v>-5409498.4800000004</v>
      </c>
      <c r="G96" s="9">
        <v>-5456550.5199999996</v>
      </c>
      <c r="H96" s="11">
        <v>49.78</v>
      </c>
      <c r="I96" s="70">
        <v>0</v>
      </c>
      <c r="J96" s="11">
        <f>C96+I96</f>
        <v>-10866049</v>
      </c>
      <c r="K96" s="9">
        <f t="shared" ref="K96:L96" si="53">J96*6/100+J96</f>
        <v>-11518011.939999999</v>
      </c>
      <c r="L96" s="11">
        <f t="shared" si="53"/>
        <v>-12209092.656399999</v>
      </c>
    </row>
    <row r="97" spans="1:12" s="1" customFormat="1" ht="14.25" x14ac:dyDescent="0.2">
      <c r="A97" s="5"/>
      <c r="B97" s="7"/>
      <c r="C97" s="29"/>
      <c r="D97" s="11"/>
      <c r="E97" s="9"/>
      <c r="F97" s="11"/>
      <c r="G97" s="9"/>
      <c r="H97" s="11">
        <v>0</v>
      </c>
      <c r="I97" s="70"/>
      <c r="J97" s="11"/>
      <c r="K97" s="9"/>
      <c r="L97" s="11"/>
    </row>
    <row r="98" spans="1:12" s="3" customFormat="1" x14ac:dyDescent="0.25">
      <c r="A98" s="18"/>
      <c r="B98" s="19" t="s">
        <v>344</v>
      </c>
      <c r="C98" s="28">
        <f>SUM(C96:C97)</f>
        <v>-10866049</v>
      </c>
      <c r="D98" s="36">
        <f t="shared" ref="D98:G98" si="54">SUM(D96:D97)</f>
        <v>-901583.08</v>
      </c>
      <c r="E98" s="28">
        <f t="shared" si="54"/>
        <v>0</v>
      </c>
      <c r="F98" s="36">
        <f t="shared" si="54"/>
        <v>-5409498.4800000004</v>
      </c>
      <c r="G98" s="28">
        <f t="shared" si="54"/>
        <v>-5456550.5199999996</v>
      </c>
      <c r="H98" s="21">
        <v>49.78</v>
      </c>
      <c r="I98" s="71">
        <f t="shared" ref="I98" si="55">SUM(I96:I97)</f>
        <v>0</v>
      </c>
      <c r="J98" s="36">
        <f>J96</f>
        <v>-10866049</v>
      </c>
      <c r="K98" s="36">
        <f t="shared" ref="K98:L98" si="56">K96</f>
        <v>-11518011.939999999</v>
      </c>
      <c r="L98" s="36">
        <f t="shared" si="56"/>
        <v>-12209092.656399999</v>
      </c>
    </row>
    <row r="99" spans="1:12" s="3" customFormat="1" x14ac:dyDescent="0.25">
      <c r="A99" s="18"/>
      <c r="B99" s="19"/>
      <c r="C99" s="28"/>
      <c r="D99" s="21"/>
      <c r="E99" s="20"/>
      <c r="F99" s="21"/>
      <c r="G99" s="20"/>
      <c r="H99" s="21">
        <v>0</v>
      </c>
      <c r="I99" s="69"/>
      <c r="J99" s="21"/>
      <c r="K99" s="20"/>
      <c r="L99" s="21"/>
    </row>
    <row r="100" spans="1:12" s="3" customFormat="1" x14ac:dyDescent="0.25">
      <c r="A100" s="18"/>
      <c r="B100" s="19" t="s">
        <v>353</v>
      </c>
      <c r="C100" s="28"/>
      <c r="D100" s="21"/>
      <c r="E100" s="20"/>
      <c r="F100" s="21"/>
      <c r="G100" s="20"/>
      <c r="H100" s="21">
        <v>0</v>
      </c>
      <c r="I100" s="69"/>
      <c r="J100" s="21"/>
      <c r="K100" s="20"/>
      <c r="L100" s="21"/>
    </row>
    <row r="101" spans="1:12" s="3" customFormat="1" x14ac:dyDescent="0.25">
      <c r="A101" s="18"/>
      <c r="B101" s="19"/>
      <c r="C101" s="28"/>
      <c r="D101" s="21"/>
      <c r="E101" s="20"/>
      <c r="F101" s="21"/>
      <c r="G101" s="20"/>
      <c r="H101" s="21">
        <v>0</v>
      </c>
      <c r="I101" s="69"/>
      <c r="J101" s="21"/>
      <c r="K101" s="20"/>
      <c r="L101" s="21"/>
    </row>
    <row r="102" spans="1:12" s="1" customFormat="1" ht="14.25" x14ac:dyDescent="0.2">
      <c r="A102" s="5" t="s">
        <v>765</v>
      </c>
      <c r="B102" s="7" t="s">
        <v>357</v>
      </c>
      <c r="C102" s="29">
        <v>-106287000</v>
      </c>
      <c r="D102" s="11">
        <v>0</v>
      </c>
      <c r="E102" s="9">
        <v>0</v>
      </c>
      <c r="F102" s="11">
        <v>-78973000</v>
      </c>
      <c r="G102" s="9">
        <v>-27314000</v>
      </c>
      <c r="H102" s="11">
        <v>74.3</v>
      </c>
      <c r="I102" s="70"/>
      <c r="J102" s="11">
        <f>C102+I102</f>
        <v>-106287000</v>
      </c>
      <c r="K102" s="9">
        <v>-105489000</v>
      </c>
      <c r="L102" s="11">
        <v>-102169000</v>
      </c>
    </row>
    <row r="103" spans="1:12" s="1" customFormat="1" ht="14.25" x14ac:dyDescent="0.2">
      <c r="A103" s="5" t="s">
        <v>766</v>
      </c>
      <c r="B103" s="7" t="s">
        <v>1004</v>
      </c>
      <c r="C103" s="29">
        <v>-1600000</v>
      </c>
      <c r="D103" s="11">
        <v>-268889</v>
      </c>
      <c r="E103" s="9">
        <v>0</v>
      </c>
      <c r="F103" s="11">
        <v>-413110.7</v>
      </c>
      <c r="G103" s="9">
        <v>-1186889.3</v>
      </c>
      <c r="H103" s="11">
        <v>25.81</v>
      </c>
      <c r="I103" s="70"/>
      <c r="J103" s="11">
        <f>C103+I103</f>
        <v>-1600000</v>
      </c>
      <c r="K103" s="9">
        <v>-1625000</v>
      </c>
      <c r="L103" s="11">
        <v>-1700000</v>
      </c>
    </row>
    <row r="104" spans="1:12" s="1" customFormat="1" ht="14.25" x14ac:dyDescent="0.2">
      <c r="A104" s="5" t="s">
        <v>767</v>
      </c>
      <c r="B104" s="7" t="s">
        <v>1005</v>
      </c>
      <c r="C104" s="29">
        <v>-930000</v>
      </c>
      <c r="D104" s="11">
        <v>-434200</v>
      </c>
      <c r="E104" s="9">
        <v>0</v>
      </c>
      <c r="F104" s="11">
        <v>-481400</v>
      </c>
      <c r="G104" s="9">
        <v>-448600</v>
      </c>
      <c r="H104" s="11">
        <v>51.76</v>
      </c>
      <c r="I104" s="70"/>
      <c r="J104" s="11">
        <f>C104+I104</f>
        <v>-930000</v>
      </c>
      <c r="K104" s="9">
        <f>'[2]ALL DEPARTMENTS'!$I$929</f>
        <v>-957000</v>
      </c>
      <c r="L104" s="11">
        <f>'[2]ALL DEPARTMENTS'!$J$929</f>
        <v>-1033000</v>
      </c>
    </row>
    <row r="105" spans="1:12" s="1" customFormat="1" ht="14.25" x14ac:dyDescent="0.2">
      <c r="A105" s="5"/>
      <c r="B105" s="7"/>
      <c r="C105" s="29"/>
      <c r="D105" s="11"/>
      <c r="E105" s="9"/>
      <c r="F105" s="11"/>
      <c r="G105" s="9"/>
      <c r="H105" s="11">
        <v>0</v>
      </c>
      <c r="I105" s="70"/>
      <c r="J105" s="11"/>
      <c r="K105" s="9"/>
      <c r="L105" s="11"/>
    </row>
    <row r="106" spans="1:12" s="3" customFormat="1" x14ac:dyDescent="0.25">
      <c r="A106" s="18"/>
      <c r="B106" s="19" t="s">
        <v>360</v>
      </c>
      <c r="C106" s="28">
        <f>SUM(C102:C105)</f>
        <v>-108817000</v>
      </c>
      <c r="D106" s="36">
        <f t="shared" ref="D106:G106" si="57">SUM(D102:D105)</f>
        <v>-703089</v>
      </c>
      <c r="E106" s="28">
        <f t="shared" si="57"/>
        <v>0</v>
      </c>
      <c r="F106" s="36">
        <f t="shared" si="57"/>
        <v>-79867510.700000003</v>
      </c>
      <c r="G106" s="28">
        <f t="shared" si="57"/>
        <v>-28949489.300000001</v>
      </c>
      <c r="H106" s="21">
        <v>73.39</v>
      </c>
      <c r="I106" s="71">
        <f t="shared" ref="I106:L106" si="58">SUM(I102:I105)</f>
        <v>0</v>
      </c>
      <c r="J106" s="36">
        <f t="shared" si="58"/>
        <v>-108817000</v>
      </c>
      <c r="K106" s="28">
        <f t="shared" si="58"/>
        <v>-108071000</v>
      </c>
      <c r="L106" s="36">
        <f t="shared" si="58"/>
        <v>-104902000</v>
      </c>
    </row>
    <row r="107" spans="1:12" s="3" customFormat="1" x14ac:dyDescent="0.25">
      <c r="A107" s="18"/>
      <c r="B107" s="19"/>
      <c r="C107" s="28"/>
      <c r="D107" s="21"/>
      <c r="E107" s="20"/>
      <c r="F107" s="21"/>
      <c r="G107" s="20"/>
      <c r="H107" s="21">
        <v>0</v>
      </c>
      <c r="I107" s="69"/>
      <c r="J107" s="21"/>
      <c r="K107" s="20"/>
      <c r="L107" s="21"/>
    </row>
    <row r="108" spans="1:12" s="3" customFormat="1" x14ac:dyDescent="0.25">
      <c r="A108" s="18"/>
      <c r="B108" s="19" t="s">
        <v>369</v>
      </c>
      <c r="C108" s="28"/>
      <c r="D108" s="21"/>
      <c r="E108" s="20"/>
      <c r="F108" s="21"/>
      <c r="G108" s="20"/>
      <c r="H108" s="21">
        <v>0</v>
      </c>
      <c r="I108" s="69"/>
      <c r="J108" s="21"/>
      <c r="K108" s="20"/>
      <c r="L108" s="21"/>
    </row>
    <row r="109" spans="1:12" s="3" customFormat="1" x14ac:dyDescent="0.25">
      <c r="A109" s="18"/>
      <c r="B109" s="19"/>
      <c r="C109" s="28"/>
      <c r="D109" s="21"/>
      <c r="E109" s="20"/>
      <c r="F109" s="21"/>
      <c r="G109" s="20"/>
      <c r="H109" s="21">
        <v>0</v>
      </c>
      <c r="I109" s="69"/>
      <c r="J109" s="21"/>
      <c r="K109" s="20"/>
      <c r="L109" s="21"/>
    </row>
    <row r="110" spans="1:12" s="1" customFormat="1" ht="14.25" x14ac:dyDescent="0.2">
      <c r="A110" s="5" t="s">
        <v>768</v>
      </c>
      <c r="B110" s="7" t="s">
        <v>371</v>
      </c>
      <c r="C110" s="29">
        <v>-1200000</v>
      </c>
      <c r="D110" s="11">
        <v>-331148.62</v>
      </c>
      <c r="E110" s="9">
        <v>0</v>
      </c>
      <c r="F110" s="11">
        <v>-977508.48</v>
      </c>
      <c r="G110" s="9">
        <v>-222491.51999999999</v>
      </c>
      <c r="H110" s="11">
        <v>81.45</v>
      </c>
      <c r="I110" s="70">
        <v>-1000000</v>
      </c>
      <c r="J110" s="11">
        <f>C110+I110</f>
        <v>-2200000</v>
      </c>
      <c r="K110" s="9">
        <f t="shared" ref="K110:L110" si="59">J110*6/100+J110</f>
        <v>-2332000</v>
      </c>
      <c r="L110" s="11">
        <f t="shared" si="59"/>
        <v>-2471920</v>
      </c>
    </row>
    <row r="111" spans="1:12" s="1" customFormat="1" ht="14.25" x14ac:dyDescent="0.2">
      <c r="A111" s="5"/>
      <c r="B111" s="7"/>
      <c r="C111" s="29"/>
      <c r="D111" s="11"/>
      <c r="E111" s="9"/>
      <c r="F111" s="11"/>
      <c r="G111" s="9"/>
      <c r="H111" s="11">
        <v>0</v>
      </c>
      <c r="I111" s="70"/>
      <c r="J111" s="11"/>
      <c r="K111" s="9"/>
      <c r="L111" s="11"/>
    </row>
    <row r="112" spans="1:12" s="3" customFormat="1" x14ac:dyDescent="0.25">
      <c r="A112" s="18"/>
      <c r="B112" s="19" t="s">
        <v>1006</v>
      </c>
      <c r="C112" s="28">
        <f>SUM(C110:C111)</f>
        <v>-1200000</v>
      </c>
      <c r="D112" s="36">
        <f t="shared" ref="D112:G112" si="60">SUM(D110:D111)</f>
        <v>-331148.62</v>
      </c>
      <c r="E112" s="28">
        <f t="shared" si="60"/>
        <v>0</v>
      </c>
      <c r="F112" s="36">
        <f t="shared" si="60"/>
        <v>-977508.48</v>
      </c>
      <c r="G112" s="28">
        <f t="shared" si="60"/>
        <v>-222491.51999999999</v>
      </c>
      <c r="H112" s="21">
        <v>81.45</v>
      </c>
      <c r="I112" s="71">
        <f t="shared" ref="I112:L112" si="61">SUM(I110:I111)</f>
        <v>-1000000</v>
      </c>
      <c r="J112" s="36">
        <f t="shared" si="61"/>
        <v>-2200000</v>
      </c>
      <c r="K112" s="28">
        <f t="shared" si="61"/>
        <v>-2332000</v>
      </c>
      <c r="L112" s="36">
        <f t="shared" si="61"/>
        <v>-2471920</v>
      </c>
    </row>
    <row r="113" spans="1:12" s="3" customFormat="1" x14ac:dyDescent="0.25">
      <c r="A113" s="18"/>
      <c r="B113" s="19"/>
      <c r="C113" s="28"/>
      <c r="D113" s="36"/>
      <c r="E113" s="28"/>
      <c r="F113" s="36"/>
      <c r="G113" s="28"/>
      <c r="H113" s="21">
        <v>0</v>
      </c>
      <c r="I113" s="71"/>
      <c r="J113" s="36"/>
      <c r="K113" s="28"/>
      <c r="L113" s="36"/>
    </row>
    <row r="114" spans="1:12" s="3" customFormat="1" x14ac:dyDescent="0.25">
      <c r="A114" s="18"/>
      <c r="B114" s="19" t="s">
        <v>372</v>
      </c>
      <c r="C114" s="28"/>
      <c r="D114" s="21"/>
      <c r="E114" s="20"/>
      <c r="F114" s="21"/>
      <c r="G114" s="20"/>
      <c r="H114" s="21">
        <v>0</v>
      </c>
      <c r="I114" s="69"/>
      <c r="J114" s="21"/>
      <c r="K114" s="20"/>
      <c r="L114" s="21"/>
    </row>
    <row r="115" spans="1:12" s="3" customFormat="1" x14ac:dyDescent="0.25">
      <c r="A115" s="18"/>
      <c r="B115" s="19"/>
      <c r="C115" s="28"/>
      <c r="D115" s="21"/>
      <c r="E115" s="20"/>
      <c r="F115" s="21"/>
      <c r="G115" s="20"/>
      <c r="H115" s="21">
        <v>0</v>
      </c>
      <c r="I115" s="69"/>
      <c r="J115" s="21"/>
      <c r="K115" s="20"/>
      <c r="L115" s="21"/>
    </row>
    <row r="116" spans="1:12" s="1" customFormat="1" ht="14.25" x14ac:dyDescent="0.2">
      <c r="A116" s="5" t="s">
        <v>769</v>
      </c>
      <c r="B116" s="7" t="s">
        <v>573</v>
      </c>
      <c r="C116" s="29">
        <v>-4569726</v>
      </c>
      <c r="D116" s="11">
        <v>-264720.45</v>
      </c>
      <c r="E116" s="9">
        <v>0</v>
      </c>
      <c r="F116" s="11">
        <v>-1534007.22</v>
      </c>
      <c r="G116" s="9">
        <v>-3035718.78</v>
      </c>
      <c r="H116" s="11">
        <v>33.56</v>
      </c>
      <c r="I116" s="70">
        <v>0</v>
      </c>
      <c r="J116" s="11">
        <f>C116+I116</f>
        <v>-4569726</v>
      </c>
      <c r="K116" s="9">
        <f t="shared" ref="K116:L116" si="62">J116*6/100+J116</f>
        <v>-4843909.5599999996</v>
      </c>
      <c r="L116" s="11">
        <f t="shared" si="62"/>
        <v>-5134544.1335999994</v>
      </c>
    </row>
    <row r="117" spans="1:12" s="1" customFormat="1" ht="14.25" x14ac:dyDescent="0.2">
      <c r="A117" s="5"/>
      <c r="B117" s="7"/>
      <c r="C117" s="29"/>
      <c r="D117" s="11"/>
      <c r="E117" s="9"/>
      <c r="F117" s="11"/>
      <c r="G117" s="9"/>
      <c r="H117" s="11">
        <v>0</v>
      </c>
      <c r="I117" s="70"/>
      <c r="J117" s="11"/>
      <c r="K117" s="9"/>
      <c r="L117" s="11"/>
    </row>
    <row r="118" spans="1:12" s="3" customFormat="1" x14ac:dyDescent="0.25">
      <c r="A118" s="18"/>
      <c r="B118" s="19" t="s">
        <v>1007</v>
      </c>
      <c r="C118" s="28">
        <f>SUM(C116:C117)</f>
        <v>-4569726</v>
      </c>
      <c r="D118" s="36">
        <f t="shared" ref="D118:G118" si="63">SUM(D116:D117)</f>
        <v>-264720.45</v>
      </c>
      <c r="E118" s="28">
        <f t="shared" si="63"/>
        <v>0</v>
      </c>
      <c r="F118" s="36">
        <f t="shared" si="63"/>
        <v>-1534007.22</v>
      </c>
      <c r="G118" s="28">
        <f t="shared" si="63"/>
        <v>-3035718.78</v>
      </c>
      <c r="H118" s="21">
        <v>33.56</v>
      </c>
      <c r="I118" s="71">
        <f t="shared" ref="I118:L118" si="64">SUM(I116:I117)</f>
        <v>0</v>
      </c>
      <c r="J118" s="36">
        <f t="shared" si="64"/>
        <v>-4569726</v>
      </c>
      <c r="K118" s="28">
        <f t="shared" si="64"/>
        <v>-4843909.5599999996</v>
      </c>
      <c r="L118" s="36">
        <f t="shared" si="64"/>
        <v>-5134544.1335999994</v>
      </c>
    </row>
    <row r="119" spans="1:12" s="3" customFormat="1" x14ac:dyDescent="0.25">
      <c r="A119" s="18"/>
      <c r="B119" s="19"/>
      <c r="C119" s="28"/>
      <c r="D119" s="21"/>
      <c r="E119" s="20"/>
      <c r="F119" s="21"/>
      <c r="G119" s="20"/>
      <c r="H119" s="21">
        <v>0</v>
      </c>
      <c r="I119" s="69"/>
      <c r="J119" s="21"/>
      <c r="K119" s="20"/>
      <c r="L119" s="21"/>
    </row>
    <row r="120" spans="1:12" s="3" customFormat="1" x14ac:dyDescent="0.25">
      <c r="A120" s="18"/>
      <c r="B120" s="19" t="s">
        <v>381</v>
      </c>
      <c r="C120" s="28"/>
      <c r="D120" s="21"/>
      <c r="E120" s="20"/>
      <c r="F120" s="21"/>
      <c r="G120" s="20"/>
      <c r="H120" s="21">
        <v>0</v>
      </c>
      <c r="I120" s="69"/>
      <c r="J120" s="21"/>
      <c r="K120" s="20"/>
      <c r="L120" s="21"/>
    </row>
    <row r="121" spans="1:12" s="3" customFormat="1" x14ac:dyDescent="0.25">
      <c r="A121" s="18"/>
      <c r="B121" s="19"/>
      <c r="C121" s="28"/>
      <c r="D121" s="21"/>
      <c r="E121" s="20"/>
      <c r="F121" s="21"/>
      <c r="G121" s="20"/>
      <c r="H121" s="21">
        <v>0</v>
      </c>
      <c r="I121" s="69"/>
      <c r="J121" s="21"/>
      <c r="K121" s="20"/>
      <c r="L121" s="21"/>
    </row>
    <row r="122" spans="1:12" s="1" customFormat="1" ht="14.25" x14ac:dyDescent="0.2">
      <c r="A122" s="5" t="s">
        <v>770</v>
      </c>
      <c r="B122" s="7" t="s">
        <v>412</v>
      </c>
      <c r="C122" s="29">
        <v>0</v>
      </c>
      <c r="D122" s="11">
        <v>0</v>
      </c>
      <c r="E122" s="9">
        <v>0</v>
      </c>
      <c r="F122" s="11">
        <v>0</v>
      </c>
      <c r="G122" s="9">
        <v>0</v>
      </c>
      <c r="H122" s="11">
        <v>0</v>
      </c>
      <c r="I122" s="70">
        <v>-3354726.8</v>
      </c>
      <c r="J122" s="11">
        <f>C122+I122</f>
        <v>-3354726.8</v>
      </c>
      <c r="K122" s="9">
        <f>J122*6/100+J122+-249620</f>
        <v>-3805630.4079999998</v>
      </c>
      <c r="L122" s="11">
        <f>K122*6/100+K122+706058</f>
        <v>-3327910.2324799998</v>
      </c>
    </row>
    <row r="123" spans="1:12" s="43" customFormat="1" ht="14.25" x14ac:dyDescent="0.2">
      <c r="A123" s="40"/>
      <c r="B123" s="41" t="s">
        <v>1097</v>
      </c>
      <c r="C123" s="42"/>
      <c r="D123" s="35"/>
      <c r="E123" s="33"/>
      <c r="F123" s="35"/>
      <c r="G123" s="33"/>
      <c r="H123" s="35"/>
      <c r="I123" s="72">
        <f>-4000000+-3768000+-2829720</f>
        <v>-10597720</v>
      </c>
      <c r="J123" s="11">
        <f>C123+I123</f>
        <v>-10597720</v>
      </c>
      <c r="K123" s="9">
        <f>I123*6/100+I123+-1000000</f>
        <v>-12233583.199999999</v>
      </c>
      <c r="L123" s="11">
        <f>K123*6/100+K123</f>
        <v>-12967598.192</v>
      </c>
    </row>
    <row r="124" spans="1:12" s="1" customFormat="1" ht="14.25" x14ac:dyDescent="0.2">
      <c r="A124" s="5" t="s">
        <v>771</v>
      </c>
      <c r="B124" s="7" t="s">
        <v>414</v>
      </c>
      <c r="C124" s="29">
        <v>-246997</v>
      </c>
      <c r="D124" s="11">
        <v>0</v>
      </c>
      <c r="E124" s="9">
        <v>0</v>
      </c>
      <c r="F124" s="11">
        <v>-201829.46</v>
      </c>
      <c r="G124" s="9">
        <v>-45167.54</v>
      </c>
      <c r="H124" s="11">
        <v>81.709999999999994</v>
      </c>
      <c r="I124" s="70">
        <v>-156661.92000000001</v>
      </c>
      <c r="J124" s="11">
        <f>C124+I124</f>
        <v>-403658.92000000004</v>
      </c>
      <c r="K124" s="9">
        <f t="shared" ref="K124:L124" si="65">J124*6/100+J124</f>
        <v>-427878.45520000003</v>
      </c>
      <c r="L124" s="11">
        <f t="shared" si="65"/>
        <v>-453551.16251200001</v>
      </c>
    </row>
    <row r="125" spans="1:12" s="1" customFormat="1" ht="14.25" x14ac:dyDescent="0.2">
      <c r="A125" s="5"/>
      <c r="B125" s="7"/>
      <c r="C125" s="29"/>
      <c r="D125" s="11"/>
      <c r="E125" s="9"/>
      <c r="F125" s="11"/>
      <c r="G125" s="9"/>
      <c r="H125" s="11">
        <v>0</v>
      </c>
      <c r="I125" s="70"/>
      <c r="J125" s="11"/>
      <c r="K125" s="9"/>
      <c r="L125" s="11"/>
    </row>
    <row r="126" spans="1:12" s="3" customFormat="1" x14ac:dyDescent="0.25">
      <c r="A126" s="18"/>
      <c r="B126" s="19" t="s">
        <v>426</v>
      </c>
      <c r="C126" s="28">
        <f>SUM(C122:C125)</f>
        <v>-246997</v>
      </c>
      <c r="D126" s="36">
        <f t="shared" ref="D126:G126" si="66">SUM(D122:D125)</f>
        <v>0</v>
      </c>
      <c r="E126" s="28">
        <f t="shared" si="66"/>
        <v>0</v>
      </c>
      <c r="F126" s="36">
        <f t="shared" si="66"/>
        <v>-201829.46</v>
      </c>
      <c r="G126" s="28">
        <f t="shared" si="66"/>
        <v>-45167.54</v>
      </c>
      <c r="H126" s="21">
        <v>81.709999999999994</v>
      </c>
      <c r="I126" s="71">
        <f t="shared" ref="I126:L126" si="67">SUM(I122:I125)</f>
        <v>-14109108.720000001</v>
      </c>
      <c r="J126" s="36">
        <f t="shared" si="67"/>
        <v>-14356105.720000001</v>
      </c>
      <c r="K126" s="28">
        <f t="shared" si="67"/>
        <v>-16467092.063199999</v>
      </c>
      <c r="L126" s="36">
        <f t="shared" si="67"/>
        <v>-16749059.586991999</v>
      </c>
    </row>
    <row r="127" spans="1:12" s="3" customFormat="1" x14ac:dyDescent="0.25">
      <c r="A127" s="18"/>
      <c r="B127" s="19"/>
      <c r="C127" s="28"/>
      <c r="D127" s="21"/>
      <c r="E127" s="20"/>
      <c r="F127" s="21"/>
      <c r="G127" s="20"/>
      <c r="H127" s="21">
        <v>0</v>
      </c>
      <c r="I127" s="69"/>
      <c r="J127" s="21"/>
      <c r="K127" s="20"/>
      <c r="L127" s="21"/>
    </row>
    <row r="128" spans="1:12" s="3" customFormat="1" x14ac:dyDescent="0.25">
      <c r="A128" s="18"/>
      <c r="B128" s="19" t="s">
        <v>427</v>
      </c>
      <c r="C128" s="28">
        <f>C98+C106+C112+C118+C126</f>
        <v>-125699772</v>
      </c>
      <c r="D128" s="36">
        <f t="shared" ref="D128:G128" si="68">D98+D106+D112+D118+D126</f>
        <v>-2200541.1500000004</v>
      </c>
      <c r="E128" s="28">
        <f t="shared" si="68"/>
        <v>0</v>
      </c>
      <c r="F128" s="36">
        <f t="shared" si="68"/>
        <v>-87990354.340000004</v>
      </c>
      <c r="G128" s="28">
        <f t="shared" si="68"/>
        <v>-37709417.660000004</v>
      </c>
      <c r="H128" s="21">
        <v>70</v>
      </c>
      <c r="I128" s="71">
        <f t="shared" ref="I128:L128" si="69">I98+I106+I112+I118+I126</f>
        <v>-15109108.720000001</v>
      </c>
      <c r="J128" s="36">
        <f t="shared" si="69"/>
        <v>-140808880.72</v>
      </c>
      <c r="K128" s="28">
        <f t="shared" si="69"/>
        <v>-143232013.5632</v>
      </c>
      <c r="L128" s="36">
        <f t="shared" si="69"/>
        <v>-141466616.37699199</v>
      </c>
    </row>
    <row r="129" spans="1:12" s="3" customFormat="1" x14ac:dyDescent="0.25">
      <c r="A129" s="18"/>
      <c r="B129" s="19"/>
      <c r="C129" s="28"/>
      <c r="D129" s="21"/>
      <c r="E129" s="20"/>
      <c r="F129" s="21"/>
      <c r="G129" s="20"/>
      <c r="H129" s="21">
        <v>0</v>
      </c>
      <c r="I129" s="69"/>
      <c r="J129" s="21"/>
      <c r="K129" s="20"/>
      <c r="L129" s="21"/>
    </row>
    <row r="130" spans="1:12" s="3" customFormat="1" x14ac:dyDescent="0.25">
      <c r="A130" s="18"/>
      <c r="B130" s="19" t="s">
        <v>428</v>
      </c>
      <c r="C130" s="28">
        <f>C128</f>
        <v>-125699772</v>
      </c>
      <c r="D130" s="36">
        <f t="shared" ref="D130:G130" si="70">D128</f>
        <v>-2200541.1500000004</v>
      </c>
      <c r="E130" s="28">
        <f t="shared" si="70"/>
        <v>0</v>
      </c>
      <c r="F130" s="36">
        <f t="shared" si="70"/>
        <v>-87990354.340000004</v>
      </c>
      <c r="G130" s="28">
        <f t="shared" si="70"/>
        <v>-37709417.660000004</v>
      </c>
      <c r="H130" s="21">
        <v>70</v>
      </c>
      <c r="I130" s="71">
        <f t="shared" ref="I130:L130" si="71">I128</f>
        <v>-15109108.720000001</v>
      </c>
      <c r="J130" s="36">
        <f t="shared" si="71"/>
        <v>-140808880.72</v>
      </c>
      <c r="K130" s="28">
        <f t="shared" si="71"/>
        <v>-143232013.5632</v>
      </c>
      <c r="L130" s="36">
        <f t="shared" si="71"/>
        <v>-141466616.37699199</v>
      </c>
    </row>
    <row r="131" spans="1:12" s="3" customFormat="1" x14ac:dyDescent="0.25">
      <c r="A131" s="18"/>
      <c r="B131" s="19"/>
      <c r="C131" s="28"/>
      <c r="D131" s="21"/>
      <c r="E131" s="20"/>
      <c r="F131" s="21"/>
      <c r="G131" s="20"/>
      <c r="H131" s="21">
        <v>0</v>
      </c>
      <c r="I131" s="69"/>
      <c r="J131" s="21"/>
      <c r="K131" s="20"/>
      <c r="L131" s="21"/>
    </row>
    <row r="132" spans="1:12" s="3" customFormat="1" x14ac:dyDescent="0.25">
      <c r="A132" s="18"/>
      <c r="B132" s="19" t="s">
        <v>429</v>
      </c>
      <c r="C132" s="28">
        <f>C130</f>
        <v>-125699772</v>
      </c>
      <c r="D132" s="36">
        <f t="shared" ref="D132:G132" si="72">D130</f>
        <v>-2200541.1500000004</v>
      </c>
      <c r="E132" s="28">
        <f t="shared" si="72"/>
        <v>0</v>
      </c>
      <c r="F132" s="36">
        <f t="shared" si="72"/>
        <v>-87990354.340000004</v>
      </c>
      <c r="G132" s="28">
        <f t="shared" si="72"/>
        <v>-37709417.660000004</v>
      </c>
      <c r="H132" s="21">
        <v>70</v>
      </c>
      <c r="I132" s="71">
        <f t="shared" ref="I132:L132" si="73">I130</f>
        <v>-15109108.720000001</v>
      </c>
      <c r="J132" s="36">
        <f t="shared" si="73"/>
        <v>-140808880.72</v>
      </c>
      <c r="K132" s="28">
        <f t="shared" si="73"/>
        <v>-143232013.5632</v>
      </c>
      <c r="L132" s="36">
        <f t="shared" si="73"/>
        <v>-141466616.37699199</v>
      </c>
    </row>
    <row r="133" spans="1:12" s="1" customFormat="1" ht="14.25" x14ac:dyDescent="0.2">
      <c r="A133" s="5"/>
      <c r="B133" s="7"/>
      <c r="C133" s="29"/>
      <c r="D133" s="11"/>
      <c r="E133" s="9"/>
      <c r="F133" s="11"/>
      <c r="G133" s="9"/>
      <c r="H133" s="11"/>
      <c r="I133" s="70"/>
      <c r="J133" s="11"/>
      <c r="K133" s="9"/>
      <c r="L133" s="11"/>
    </row>
    <row r="134" spans="1:12" s="3" customFormat="1" x14ac:dyDescent="0.25">
      <c r="A134" s="18"/>
      <c r="B134" s="19" t="s">
        <v>431</v>
      </c>
      <c r="C134" s="28"/>
      <c r="D134" s="21"/>
      <c r="E134" s="20"/>
      <c r="F134" s="21"/>
      <c r="G134" s="20"/>
      <c r="H134" s="21"/>
      <c r="I134" s="69"/>
      <c r="J134" s="21"/>
      <c r="K134" s="20"/>
      <c r="L134" s="21"/>
    </row>
    <row r="135" spans="1:12" s="3" customFormat="1" x14ac:dyDescent="0.25">
      <c r="A135" s="18"/>
      <c r="B135" s="19"/>
      <c r="C135" s="28"/>
      <c r="D135" s="21"/>
      <c r="E135" s="20"/>
      <c r="F135" s="21"/>
      <c r="G135" s="20"/>
      <c r="H135" s="21"/>
      <c r="I135" s="69"/>
      <c r="J135" s="21"/>
      <c r="K135" s="20"/>
      <c r="L135" s="21"/>
    </row>
    <row r="136" spans="1:12" s="1" customFormat="1" ht="14.25" x14ac:dyDescent="0.2">
      <c r="A136" s="5" t="s">
        <v>772</v>
      </c>
      <c r="B136" s="7" t="s">
        <v>433</v>
      </c>
      <c r="C136" s="29">
        <f>C90</f>
        <v>35678565</v>
      </c>
      <c r="D136" s="37">
        <f t="shared" ref="D136:L136" si="74">D90</f>
        <v>3089433.3000000003</v>
      </c>
      <c r="E136" s="29">
        <f t="shared" si="74"/>
        <v>32575.439999999999</v>
      </c>
      <c r="F136" s="37">
        <f t="shared" si="74"/>
        <v>17416341.689999998</v>
      </c>
      <c r="G136" s="29">
        <f t="shared" si="74"/>
        <v>18229647.870000005</v>
      </c>
      <c r="H136" s="11">
        <v>36.020000000000003</v>
      </c>
      <c r="I136" s="76">
        <f>I90</f>
        <v>7040109.7999999998</v>
      </c>
      <c r="J136" s="37">
        <f t="shared" si="74"/>
        <v>42718674.799999997</v>
      </c>
      <c r="K136" s="29">
        <f t="shared" si="74"/>
        <v>43661317.988000005</v>
      </c>
      <c r="L136" s="37">
        <f t="shared" si="74"/>
        <v>45166997.067280002</v>
      </c>
    </row>
    <row r="137" spans="1:12" s="1" customFormat="1" ht="14.25" x14ac:dyDescent="0.2">
      <c r="A137" s="5" t="s">
        <v>773</v>
      </c>
      <c r="B137" s="7" t="s">
        <v>429</v>
      </c>
      <c r="C137" s="29">
        <f>C132</f>
        <v>-125699772</v>
      </c>
      <c r="D137" s="37">
        <f t="shared" ref="D137:G137" si="75">D132</f>
        <v>-2200541.1500000004</v>
      </c>
      <c r="E137" s="29">
        <f t="shared" si="75"/>
        <v>0</v>
      </c>
      <c r="F137" s="37">
        <f t="shared" si="75"/>
        <v>-87990354.340000004</v>
      </c>
      <c r="G137" s="29">
        <f t="shared" si="75"/>
        <v>-37709417.660000004</v>
      </c>
      <c r="H137" s="11">
        <v>70</v>
      </c>
      <c r="I137" s="76">
        <f t="shared" ref="I137:L137" si="76">I132</f>
        <v>-15109108.720000001</v>
      </c>
      <c r="J137" s="37">
        <f t="shared" si="76"/>
        <v>-140808880.72</v>
      </c>
      <c r="K137" s="29">
        <f t="shared" si="76"/>
        <v>-143232013.5632</v>
      </c>
      <c r="L137" s="37">
        <f t="shared" si="76"/>
        <v>-141466616.37699199</v>
      </c>
    </row>
    <row r="138" spans="1:12" s="1" customFormat="1" ht="14.25" x14ac:dyDescent="0.2">
      <c r="A138" s="5"/>
      <c r="B138" s="7"/>
      <c r="C138" s="29"/>
      <c r="D138" s="11"/>
      <c r="E138" s="9"/>
      <c r="F138" s="11"/>
      <c r="G138" s="9"/>
      <c r="H138" s="11">
        <v>0</v>
      </c>
      <c r="I138" s="70"/>
      <c r="J138" s="11"/>
      <c r="K138" s="9"/>
      <c r="L138" s="11"/>
    </row>
    <row r="139" spans="1:12" s="3" customFormat="1" x14ac:dyDescent="0.25">
      <c r="A139" s="18"/>
      <c r="B139" s="19" t="s">
        <v>435</v>
      </c>
      <c r="C139" s="28">
        <f>C136+C137</f>
        <v>-90021207</v>
      </c>
      <c r="D139" s="36">
        <f t="shared" ref="D139:G139" si="77">D136+D137</f>
        <v>888892.14999999991</v>
      </c>
      <c r="E139" s="28">
        <f t="shared" si="77"/>
        <v>32575.439999999999</v>
      </c>
      <c r="F139" s="36">
        <f t="shared" si="77"/>
        <v>-70574012.650000006</v>
      </c>
      <c r="G139" s="28">
        <f t="shared" si="77"/>
        <v>-19479769.789999999</v>
      </c>
      <c r="H139" s="21">
        <v>83.46</v>
      </c>
      <c r="I139" s="71">
        <f t="shared" ref="I139:L139" si="78">I136+I137</f>
        <v>-8068998.9200000009</v>
      </c>
      <c r="J139" s="36">
        <f t="shared" si="78"/>
        <v>-98090205.920000002</v>
      </c>
      <c r="K139" s="28">
        <f t="shared" si="78"/>
        <v>-99570695.575199991</v>
      </c>
      <c r="L139" s="36">
        <f t="shared" si="78"/>
        <v>-96299619.309711993</v>
      </c>
    </row>
    <row r="140" spans="1:12" s="3" customFormat="1" x14ac:dyDescent="0.25">
      <c r="A140" s="18"/>
      <c r="B140" s="19"/>
      <c r="C140" s="28"/>
      <c r="D140" s="21"/>
      <c r="E140" s="20"/>
      <c r="F140" s="21"/>
      <c r="G140" s="20"/>
      <c r="H140" s="21">
        <v>0</v>
      </c>
      <c r="I140" s="69"/>
      <c r="J140" s="21"/>
      <c r="K140" s="20"/>
      <c r="L140" s="21"/>
    </row>
    <row r="141" spans="1:12" s="3" customFormat="1" x14ac:dyDescent="0.25">
      <c r="A141" s="18"/>
      <c r="B141" s="19" t="s">
        <v>436</v>
      </c>
      <c r="C141" s="28">
        <f>C139</f>
        <v>-90021207</v>
      </c>
      <c r="D141" s="36">
        <f t="shared" ref="D141:G141" si="79">D139</f>
        <v>888892.14999999991</v>
      </c>
      <c r="E141" s="28">
        <f t="shared" si="79"/>
        <v>32575.439999999999</v>
      </c>
      <c r="F141" s="36">
        <f t="shared" si="79"/>
        <v>-70574012.650000006</v>
      </c>
      <c r="G141" s="28">
        <f t="shared" si="79"/>
        <v>-19479769.789999999</v>
      </c>
      <c r="H141" s="21">
        <v>83.46</v>
      </c>
      <c r="I141" s="71">
        <f t="shared" ref="I141:L141" si="80">I139</f>
        <v>-8068998.9200000009</v>
      </c>
      <c r="J141" s="36">
        <f t="shared" si="80"/>
        <v>-98090205.920000002</v>
      </c>
      <c r="K141" s="28">
        <f t="shared" si="80"/>
        <v>-99570695.575199991</v>
      </c>
      <c r="L141" s="36">
        <f t="shared" si="80"/>
        <v>-96299619.309711993</v>
      </c>
    </row>
    <row r="142" spans="1:12" s="3" customFormat="1" x14ac:dyDescent="0.25">
      <c r="A142" s="18"/>
      <c r="B142" s="19"/>
      <c r="C142" s="28"/>
      <c r="D142" s="21"/>
      <c r="E142" s="20"/>
      <c r="F142" s="21"/>
      <c r="G142" s="20"/>
      <c r="H142" s="21">
        <v>0</v>
      </c>
      <c r="I142" s="69"/>
      <c r="J142" s="21"/>
      <c r="K142" s="20"/>
      <c r="L142" s="21"/>
    </row>
    <row r="143" spans="1:12" s="1" customFormat="1" ht="14.25" x14ac:dyDescent="0.2">
      <c r="A143" s="5" t="s">
        <v>774</v>
      </c>
      <c r="B143" s="7" t="s">
        <v>481</v>
      </c>
      <c r="C143" s="29">
        <v>50000</v>
      </c>
      <c r="D143" s="11">
        <v>0</v>
      </c>
      <c r="E143" s="9">
        <v>0</v>
      </c>
      <c r="F143" s="11">
        <v>0</v>
      </c>
      <c r="G143" s="9">
        <v>50000</v>
      </c>
      <c r="H143" s="11">
        <v>0</v>
      </c>
      <c r="I143" s="70"/>
      <c r="J143" s="11">
        <f>C143+I143</f>
        <v>50000</v>
      </c>
      <c r="K143" s="9">
        <f>'[2]ALL DEPARTMENTS'!$I$992</f>
        <v>0</v>
      </c>
      <c r="L143" s="11">
        <f>'[2]ALL DEPARTMENTS'!$J$992</f>
        <v>70000</v>
      </c>
    </row>
    <row r="144" spans="1:12" s="1" customFormat="1" ht="14.25" x14ac:dyDescent="0.2">
      <c r="A144" s="5"/>
      <c r="B144" s="7"/>
      <c r="C144" s="29"/>
      <c r="D144" s="11"/>
      <c r="E144" s="9"/>
      <c r="F144" s="11"/>
      <c r="G144" s="9"/>
      <c r="H144" s="11">
        <v>0</v>
      </c>
      <c r="I144" s="70"/>
      <c r="J144" s="11"/>
      <c r="K144" s="9"/>
      <c r="L144" s="11"/>
    </row>
    <row r="145" spans="1:12" s="3" customFormat="1" x14ac:dyDescent="0.25">
      <c r="A145" s="18"/>
      <c r="B145" s="19" t="s">
        <v>494</v>
      </c>
      <c r="C145" s="28">
        <f>SUM(C143:C144)</f>
        <v>50000</v>
      </c>
      <c r="D145" s="36">
        <f t="shared" ref="D145:G145" si="81">SUM(D143:D144)</f>
        <v>0</v>
      </c>
      <c r="E145" s="28">
        <f t="shared" si="81"/>
        <v>0</v>
      </c>
      <c r="F145" s="36">
        <f t="shared" si="81"/>
        <v>0</v>
      </c>
      <c r="G145" s="28">
        <f t="shared" si="81"/>
        <v>50000</v>
      </c>
      <c r="H145" s="21">
        <v>0</v>
      </c>
      <c r="I145" s="71">
        <f t="shared" ref="I145:L145" si="82">SUM(I143:I144)</f>
        <v>0</v>
      </c>
      <c r="J145" s="36">
        <f t="shared" si="82"/>
        <v>50000</v>
      </c>
      <c r="K145" s="28">
        <f t="shared" si="82"/>
        <v>0</v>
      </c>
      <c r="L145" s="36">
        <f t="shared" si="82"/>
        <v>70000</v>
      </c>
    </row>
    <row r="146" spans="1:12" s="3" customFormat="1" x14ac:dyDescent="0.25">
      <c r="A146" s="18"/>
      <c r="B146" s="19"/>
      <c r="C146" s="28"/>
      <c r="D146" s="21"/>
      <c r="E146" s="20"/>
      <c r="F146" s="21"/>
      <c r="G146" s="20"/>
      <c r="H146" s="21">
        <v>0</v>
      </c>
      <c r="I146" s="69"/>
      <c r="J146" s="21"/>
      <c r="K146" s="20"/>
      <c r="L146" s="21"/>
    </row>
    <row r="147" spans="1:12" s="3" customFormat="1" x14ac:dyDescent="0.25">
      <c r="A147" s="18"/>
      <c r="B147" s="19" t="s">
        <v>495</v>
      </c>
      <c r="C147" s="28">
        <f>C145</f>
        <v>50000</v>
      </c>
      <c r="D147" s="21">
        <v>0</v>
      </c>
      <c r="E147" s="20">
        <v>0</v>
      </c>
      <c r="F147" s="21">
        <v>0</v>
      </c>
      <c r="G147" s="20">
        <v>50000</v>
      </c>
      <c r="H147" s="21">
        <v>0</v>
      </c>
      <c r="I147" s="71">
        <f t="shared" ref="I147:L147" si="83">I145</f>
        <v>0</v>
      </c>
      <c r="J147" s="36">
        <f t="shared" si="83"/>
        <v>50000</v>
      </c>
      <c r="K147" s="28">
        <f t="shared" si="83"/>
        <v>0</v>
      </c>
      <c r="L147" s="36">
        <f t="shared" si="83"/>
        <v>70000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B1" zoomScaleNormal="100" workbookViewId="0">
      <pane xSplit="1" ySplit="1" topLeftCell="E14" activePane="bottomRight" state="frozen"/>
      <selection activeCell="B1" sqref="B1"/>
      <selection pane="topRight" activeCell="C1" sqref="C1"/>
      <selection pane="bottomLeft" activeCell="B2" sqref="B2"/>
      <selection pane="bottomRight" activeCell="L17" sqref="L17"/>
    </sheetView>
  </sheetViews>
  <sheetFormatPr defaultRowHeight="15" x14ac:dyDescent="0.25"/>
  <cols>
    <col min="1" max="1" width="18.42578125" bestFit="1" customWidth="1"/>
    <col min="2" max="2" width="64.42578125" customWidth="1"/>
    <col min="3" max="3" width="16.5703125" customWidth="1"/>
    <col min="4" max="4" width="15.7109375" customWidth="1"/>
    <col min="5" max="5" width="14.140625" customWidth="1"/>
    <col min="6" max="6" width="16" customWidth="1"/>
    <col min="7" max="7" width="17.42578125" customWidth="1"/>
    <col min="9" max="9" width="13.7109375" style="73" customWidth="1"/>
    <col min="10" max="10" width="16.5703125" customWidth="1"/>
    <col min="11" max="11" width="16.7109375" customWidth="1"/>
    <col min="12" max="12" width="17.14062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5" t="s">
        <v>7</v>
      </c>
      <c r="I1" s="68" t="s">
        <v>999</v>
      </c>
      <c r="J1" s="17" t="s">
        <v>1000</v>
      </c>
      <c r="K1" s="39" t="s">
        <v>1001</v>
      </c>
      <c r="L1" s="17" t="s">
        <v>1002</v>
      </c>
    </row>
    <row r="2" spans="1:12" s="3" customFormat="1" x14ac:dyDescent="0.25">
      <c r="A2" s="18"/>
      <c r="B2" s="19" t="s">
        <v>776</v>
      </c>
      <c r="C2" s="28"/>
      <c r="D2" s="21"/>
      <c r="E2" s="20"/>
      <c r="F2" s="21"/>
      <c r="G2" s="20"/>
      <c r="H2" s="21"/>
      <c r="I2" s="69"/>
      <c r="J2" s="21"/>
      <c r="K2" s="20"/>
      <c r="L2" s="21"/>
    </row>
    <row r="3" spans="1:12" s="3" customFormat="1" x14ac:dyDescent="0.25">
      <c r="A3" s="18"/>
      <c r="B3" s="19"/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 t="s">
        <v>9</v>
      </c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/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 t="s">
        <v>10</v>
      </c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/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 t="s">
        <v>11</v>
      </c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/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1" customFormat="1" ht="14.25" x14ac:dyDescent="0.2">
      <c r="A10" s="5" t="s">
        <v>777</v>
      </c>
      <c r="B10" s="7" t="s">
        <v>13</v>
      </c>
      <c r="C10" s="29">
        <v>827178</v>
      </c>
      <c r="D10" s="11">
        <v>0</v>
      </c>
      <c r="E10" s="9">
        <v>0</v>
      </c>
      <c r="F10" s="11">
        <v>377898.13</v>
      </c>
      <c r="G10" s="9">
        <f t="shared" ref="G10:G24" si="0">C10-E10-F10</f>
        <v>449279.87</v>
      </c>
      <c r="H10" s="11">
        <v>45.68</v>
      </c>
      <c r="I10" s="70">
        <v>0</v>
      </c>
      <c r="J10" s="11">
        <f t="shared" ref="J10:J24" si="1">C10+I10</f>
        <v>827178</v>
      </c>
      <c r="K10" s="9">
        <f>J10*6/100+J10</f>
        <v>876808.68</v>
      </c>
      <c r="L10" s="11">
        <f>K10*6/100+K10</f>
        <v>929417.20079999999</v>
      </c>
    </row>
    <row r="11" spans="1:12" s="1" customFormat="1" ht="14.25" x14ac:dyDescent="0.2">
      <c r="A11" s="5" t="s">
        <v>778</v>
      </c>
      <c r="B11" s="7" t="s">
        <v>15</v>
      </c>
      <c r="C11" s="29">
        <v>12528</v>
      </c>
      <c r="D11" s="11">
        <v>2800</v>
      </c>
      <c r="E11" s="9">
        <v>0</v>
      </c>
      <c r="F11" s="11">
        <v>17800</v>
      </c>
      <c r="G11" s="9">
        <f t="shared" si="0"/>
        <v>-5272</v>
      </c>
      <c r="H11" s="11">
        <v>142.08000000000001</v>
      </c>
      <c r="I11" s="70">
        <f>C12*92/100</f>
        <v>28874.2</v>
      </c>
      <c r="J11" s="11">
        <f t="shared" si="1"/>
        <v>41402.199999999997</v>
      </c>
      <c r="K11" s="9">
        <f t="shared" ref="K11:L21" si="2">J11*6/100+J11</f>
        <v>43886.331999999995</v>
      </c>
      <c r="L11" s="11">
        <f t="shared" si="2"/>
        <v>46519.511919999997</v>
      </c>
    </row>
    <row r="12" spans="1:12" s="1" customFormat="1" ht="14.25" x14ac:dyDescent="0.2">
      <c r="A12" s="5" t="s">
        <v>779</v>
      </c>
      <c r="B12" s="7" t="s">
        <v>17</v>
      </c>
      <c r="C12" s="29">
        <v>31385</v>
      </c>
      <c r="D12" s="11">
        <v>2615.4</v>
      </c>
      <c r="E12" s="9">
        <v>0</v>
      </c>
      <c r="F12" s="11">
        <v>15692.4</v>
      </c>
      <c r="G12" s="9">
        <f t="shared" si="0"/>
        <v>15692.6</v>
      </c>
      <c r="H12" s="11">
        <v>49.99</v>
      </c>
      <c r="I12" s="70">
        <v>0</v>
      </c>
      <c r="J12" s="11">
        <f t="shared" si="1"/>
        <v>31385</v>
      </c>
      <c r="K12" s="9">
        <f t="shared" si="2"/>
        <v>33268.1</v>
      </c>
      <c r="L12" s="11">
        <f t="shared" si="2"/>
        <v>35264.186000000002</v>
      </c>
    </row>
    <row r="13" spans="1:12" s="1" customFormat="1" ht="14.25" x14ac:dyDescent="0.2">
      <c r="A13" s="5" t="s">
        <v>780</v>
      </c>
      <c r="B13" s="7" t="s">
        <v>19</v>
      </c>
      <c r="C13" s="29">
        <v>231000</v>
      </c>
      <c r="D13" s="11">
        <v>13822.56</v>
      </c>
      <c r="E13" s="9">
        <v>0</v>
      </c>
      <c r="F13" s="11">
        <v>115851.8</v>
      </c>
      <c r="G13" s="9">
        <f t="shared" si="0"/>
        <v>115148.2</v>
      </c>
      <c r="H13" s="11">
        <v>50.15</v>
      </c>
      <c r="I13" s="70">
        <v>0</v>
      </c>
      <c r="J13" s="11">
        <f t="shared" si="1"/>
        <v>231000</v>
      </c>
      <c r="K13" s="9">
        <f t="shared" si="2"/>
        <v>244860</v>
      </c>
      <c r="L13" s="11">
        <f t="shared" si="2"/>
        <v>259551.6</v>
      </c>
    </row>
    <row r="14" spans="1:12" s="1" customFormat="1" ht="14.25" x14ac:dyDescent="0.2">
      <c r="A14" s="5" t="s">
        <v>781</v>
      </c>
      <c r="B14" s="7" t="s">
        <v>21</v>
      </c>
      <c r="C14" s="29">
        <v>359000</v>
      </c>
      <c r="D14" s="11">
        <v>48943.71</v>
      </c>
      <c r="E14" s="9">
        <v>0</v>
      </c>
      <c r="F14" s="11">
        <v>276072.49</v>
      </c>
      <c r="G14" s="9">
        <f t="shared" si="0"/>
        <v>82927.510000000009</v>
      </c>
      <c r="H14" s="11">
        <v>76.900000000000006</v>
      </c>
      <c r="I14" s="70">
        <v>80000</v>
      </c>
      <c r="J14" s="11">
        <f t="shared" si="1"/>
        <v>439000</v>
      </c>
      <c r="K14" s="9">
        <f t="shared" si="2"/>
        <v>465340</v>
      </c>
      <c r="L14" s="11">
        <f t="shared" si="2"/>
        <v>493260.4</v>
      </c>
    </row>
    <row r="15" spans="1:12" s="1" customFormat="1" ht="14.25" x14ac:dyDescent="0.2">
      <c r="A15" s="5" t="s">
        <v>782</v>
      </c>
      <c r="B15" s="7" t="s">
        <v>24</v>
      </c>
      <c r="C15" s="29">
        <v>233040</v>
      </c>
      <c r="D15" s="11">
        <v>14575</v>
      </c>
      <c r="E15" s="9">
        <v>0</v>
      </c>
      <c r="F15" s="11">
        <v>67475</v>
      </c>
      <c r="G15" s="9">
        <f t="shared" si="0"/>
        <v>165565</v>
      </c>
      <c r="H15" s="11">
        <v>28.95</v>
      </c>
      <c r="I15" s="70">
        <v>0</v>
      </c>
      <c r="J15" s="11">
        <f t="shared" si="1"/>
        <v>233040</v>
      </c>
      <c r="K15" s="9">
        <f t="shared" si="2"/>
        <v>247022.4</v>
      </c>
      <c r="L15" s="11">
        <f t="shared" si="2"/>
        <v>261843.74400000001</v>
      </c>
    </row>
    <row r="16" spans="1:12" s="1" customFormat="1" ht="14.25" x14ac:dyDescent="0.2">
      <c r="A16" s="5" t="s">
        <v>783</v>
      </c>
      <c r="B16" s="7" t="s">
        <v>28</v>
      </c>
      <c r="C16" s="29">
        <v>16965</v>
      </c>
      <c r="D16" s="11">
        <v>0</v>
      </c>
      <c r="E16" s="9">
        <v>0</v>
      </c>
      <c r="F16" s="11">
        <v>0</v>
      </c>
      <c r="G16" s="9">
        <f t="shared" si="0"/>
        <v>16965</v>
      </c>
      <c r="H16" s="11">
        <v>0</v>
      </c>
      <c r="I16" s="70">
        <v>0</v>
      </c>
      <c r="J16" s="11">
        <f t="shared" si="1"/>
        <v>16965</v>
      </c>
      <c r="K16" s="9">
        <f t="shared" si="2"/>
        <v>17982.900000000001</v>
      </c>
      <c r="L16" s="11">
        <f t="shared" si="2"/>
        <v>19061.874000000003</v>
      </c>
    </row>
    <row r="17" spans="1:12" s="1" customFormat="1" ht="14.25" x14ac:dyDescent="0.2">
      <c r="A17" s="5" t="s">
        <v>784</v>
      </c>
      <c r="B17" s="7" t="s">
        <v>30</v>
      </c>
      <c r="C17" s="29">
        <v>100000</v>
      </c>
      <c r="D17" s="11">
        <v>11046.25</v>
      </c>
      <c r="E17" s="9">
        <v>0</v>
      </c>
      <c r="F17" s="11">
        <v>11046.25</v>
      </c>
      <c r="G17" s="9">
        <f t="shared" si="0"/>
        <v>88953.75</v>
      </c>
      <c r="H17" s="11">
        <v>11.04</v>
      </c>
      <c r="I17" s="70">
        <v>0</v>
      </c>
      <c r="J17" s="11">
        <f t="shared" si="1"/>
        <v>100000</v>
      </c>
      <c r="K17" s="9">
        <v>0</v>
      </c>
      <c r="L17" s="11">
        <f t="shared" si="2"/>
        <v>0</v>
      </c>
    </row>
    <row r="18" spans="1:12" s="1" customFormat="1" ht="14.25" x14ac:dyDescent="0.2">
      <c r="A18" s="5" t="s">
        <v>785</v>
      </c>
      <c r="B18" s="7" t="s">
        <v>32</v>
      </c>
      <c r="C18" s="29">
        <v>9926124</v>
      </c>
      <c r="D18" s="11">
        <v>809111.73</v>
      </c>
      <c r="E18" s="9">
        <v>0</v>
      </c>
      <c r="F18" s="11">
        <v>4828547.12</v>
      </c>
      <c r="G18" s="9">
        <f t="shared" si="0"/>
        <v>5097576.88</v>
      </c>
      <c r="H18" s="11">
        <v>48.64</v>
      </c>
      <c r="I18" s="70">
        <v>0</v>
      </c>
      <c r="J18" s="11">
        <f t="shared" si="1"/>
        <v>9926124</v>
      </c>
      <c r="K18" s="9">
        <f t="shared" si="2"/>
        <v>10521691.439999999</v>
      </c>
      <c r="L18" s="11">
        <f t="shared" si="2"/>
        <v>11152992.9264</v>
      </c>
    </row>
    <row r="19" spans="1:12" s="1" customFormat="1" ht="14.25" x14ac:dyDescent="0.2">
      <c r="A19" s="5" t="s">
        <v>786</v>
      </c>
      <c r="B19" s="7" t="s">
        <v>34</v>
      </c>
      <c r="C19" s="29">
        <v>0</v>
      </c>
      <c r="D19" s="11">
        <v>0</v>
      </c>
      <c r="E19" s="9">
        <v>0</v>
      </c>
      <c r="F19" s="11">
        <v>0</v>
      </c>
      <c r="G19" s="9">
        <f t="shared" si="0"/>
        <v>0</v>
      </c>
      <c r="H19" s="11">
        <v>0</v>
      </c>
      <c r="I19" s="70">
        <v>0</v>
      </c>
      <c r="J19" s="11">
        <f t="shared" si="1"/>
        <v>0</v>
      </c>
      <c r="K19" s="9">
        <f t="shared" si="2"/>
        <v>0</v>
      </c>
      <c r="L19" s="11">
        <f t="shared" si="2"/>
        <v>0</v>
      </c>
    </row>
    <row r="20" spans="1:12" s="1" customFormat="1" ht="14.25" x14ac:dyDescent="0.2">
      <c r="A20" s="5" t="s">
        <v>787</v>
      </c>
      <c r="B20" s="7" t="s">
        <v>36</v>
      </c>
      <c r="C20" s="29">
        <v>663276</v>
      </c>
      <c r="D20" s="11">
        <v>57477.83</v>
      </c>
      <c r="E20" s="9">
        <v>0</v>
      </c>
      <c r="F20" s="11">
        <v>342719.78</v>
      </c>
      <c r="G20" s="9">
        <f t="shared" si="0"/>
        <v>320556.21999999997</v>
      </c>
      <c r="H20" s="11">
        <v>51.67</v>
      </c>
      <c r="I20" s="70">
        <v>0</v>
      </c>
      <c r="J20" s="11">
        <f t="shared" si="1"/>
        <v>663276</v>
      </c>
      <c r="K20" s="9">
        <f t="shared" si="2"/>
        <v>703072.56</v>
      </c>
      <c r="L20" s="11">
        <f t="shared" si="2"/>
        <v>745256.91360000009</v>
      </c>
    </row>
    <row r="21" spans="1:12" s="1" customFormat="1" ht="14.25" x14ac:dyDescent="0.2">
      <c r="A21" s="5" t="s">
        <v>788</v>
      </c>
      <c r="B21" s="7" t="s">
        <v>40</v>
      </c>
      <c r="C21" s="29">
        <v>21600</v>
      </c>
      <c r="D21" s="11">
        <v>9250</v>
      </c>
      <c r="E21" s="9">
        <v>0</v>
      </c>
      <c r="F21" s="11">
        <v>41500</v>
      </c>
      <c r="G21" s="9">
        <f t="shared" si="0"/>
        <v>-19900</v>
      </c>
      <c r="H21" s="11">
        <v>192.12</v>
      </c>
      <c r="I21" s="70">
        <f>C21*142/100</f>
        <v>30672</v>
      </c>
      <c r="J21" s="11">
        <f t="shared" si="1"/>
        <v>52272</v>
      </c>
      <c r="K21" s="9">
        <f t="shared" si="2"/>
        <v>55408.32</v>
      </c>
      <c r="L21" s="11">
        <f t="shared" si="2"/>
        <v>58732.819199999998</v>
      </c>
    </row>
    <row r="22" spans="1:12" s="1" customFormat="1" ht="14.25" x14ac:dyDescent="0.2">
      <c r="A22" s="5" t="s">
        <v>789</v>
      </c>
      <c r="B22" s="7" t="s">
        <v>44</v>
      </c>
      <c r="C22" s="29">
        <v>0</v>
      </c>
      <c r="D22" s="11">
        <v>0</v>
      </c>
      <c r="E22" s="9">
        <v>0</v>
      </c>
      <c r="F22" s="11">
        <v>0</v>
      </c>
      <c r="G22" s="9">
        <f t="shared" si="0"/>
        <v>0</v>
      </c>
      <c r="H22" s="11">
        <v>0</v>
      </c>
      <c r="I22" s="70">
        <v>0</v>
      </c>
      <c r="J22" s="11">
        <f t="shared" si="1"/>
        <v>0</v>
      </c>
      <c r="K22" s="9"/>
      <c r="L22" s="11"/>
    </row>
    <row r="23" spans="1:12" s="1" customFormat="1" ht="14.25" x14ac:dyDescent="0.2">
      <c r="A23" s="5" t="s">
        <v>790</v>
      </c>
      <c r="B23" s="7" t="s">
        <v>46</v>
      </c>
      <c r="C23" s="29">
        <v>0</v>
      </c>
      <c r="D23" s="11">
        <v>0</v>
      </c>
      <c r="E23" s="9">
        <v>0</v>
      </c>
      <c r="F23" s="11">
        <v>0</v>
      </c>
      <c r="G23" s="9">
        <f t="shared" si="0"/>
        <v>0</v>
      </c>
      <c r="H23" s="11">
        <v>0</v>
      </c>
      <c r="I23" s="70">
        <v>0</v>
      </c>
      <c r="J23" s="11">
        <f t="shared" si="1"/>
        <v>0</v>
      </c>
      <c r="K23" s="9"/>
      <c r="L23" s="11"/>
    </row>
    <row r="24" spans="1:12" s="1" customFormat="1" ht="14.25" x14ac:dyDescent="0.2">
      <c r="A24" s="5" t="s">
        <v>791</v>
      </c>
      <c r="B24" s="7" t="s">
        <v>48</v>
      </c>
      <c r="C24" s="29">
        <v>0</v>
      </c>
      <c r="D24" s="11">
        <v>0</v>
      </c>
      <c r="E24" s="9">
        <v>0</v>
      </c>
      <c r="F24" s="11">
        <v>0</v>
      </c>
      <c r="G24" s="9">
        <f t="shared" si="0"/>
        <v>0</v>
      </c>
      <c r="H24" s="11">
        <v>0</v>
      </c>
      <c r="I24" s="70">
        <v>0</v>
      </c>
      <c r="J24" s="11">
        <f t="shared" si="1"/>
        <v>0</v>
      </c>
      <c r="K24" s="9"/>
      <c r="L24" s="11"/>
    </row>
    <row r="25" spans="1:12" s="1" customFormat="1" ht="14.25" x14ac:dyDescent="0.2">
      <c r="A25" s="5"/>
      <c r="B25" s="7"/>
      <c r="C25" s="29"/>
      <c r="D25" s="11"/>
      <c r="E25" s="9"/>
      <c r="F25" s="11"/>
      <c r="G25" s="9"/>
      <c r="H25" s="11"/>
      <c r="I25" s="70"/>
      <c r="J25" s="11"/>
      <c r="K25" s="9"/>
      <c r="L25" s="11"/>
    </row>
    <row r="26" spans="1:12" s="3" customFormat="1" x14ac:dyDescent="0.25">
      <c r="A26" s="18"/>
      <c r="B26" s="19" t="s">
        <v>49</v>
      </c>
      <c r="C26" s="28">
        <f>SUM(C10:C25)</f>
        <v>12422096</v>
      </c>
      <c r="D26" s="36">
        <f>SUM(D10:D25)</f>
        <v>969642.48</v>
      </c>
      <c r="E26" s="28">
        <f>SUM(E10:E25)</f>
        <v>0</v>
      </c>
      <c r="F26" s="36">
        <f>SUM(F10:F25)</f>
        <v>6094602.9700000007</v>
      </c>
      <c r="G26" s="28">
        <f>SUM(G10:G25)</f>
        <v>6327493.0299999993</v>
      </c>
      <c r="H26" s="21">
        <v>49.06</v>
      </c>
      <c r="I26" s="71">
        <f>SUM(I10:I25)</f>
        <v>139546.20000000001</v>
      </c>
      <c r="J26" s="36">
        <f>SUM(J10:J25)</f>
        <v>12561642.199999999</v>
      </c>
      <c r="K26" s="28">
        <f>SUM(K10:K25)</f>
        <v>13209340.732000001</v>
      </c>
      <c r="L26" s="36">
        <f>SUM(L10:L25)</f>
        <v>14001901.17592</v>
      </c>
    </row>
    <row r="27" spans="1:12" s="3" customFormat="1" x14ac:dyDescent="0.25">
      <c r="A27" s="18"/>
      <c r="B27" s="19"/>
      <c r="C27" s="28"/>
      <c r="D27" s="21"/>
      <c r="E27" s="20"/>
      <c r="F27" s="21"/>
      <c r="G27" s="20"/>
      <c r="H27" s="21"/>
      <c r="I27" s="69"/>
      <c r="J27" s="21"/>
      <c r="K27" s="20"/>
      <c r="L27" s="21"/>
    </row>
    <row r="28" spans="1:12" s="3" customFormat="1" x14ac:dyDescent="0.25">
      <c r="A28" s="18"/>
      <c r="B28" s="19" t="s">
        <v>50</v>
      </c>
      <c r="C28" s="28"/>
      <c r="D28" s="21"/>
      <c r="E28" s="20"/>
      <c r="F28" s="21"/>
      <c r="G28" s="20"/>
      <c r="H28" s="21"/>
      <c r="I28" s="69"/>
      <c r="J28" s="21"/>
      <c r="K28" s="20"/>
      <c r="L28" s="21"/>
    </row>
    <row r="29" spans="1:12" s="1" customFormat="1" ht="14.25" x14ac:dyDescent="0.2">
      <c r="A29" s="5"/>
      <c r="B29" s="7"/>
      <c r="C29" s="29"/>
      <c r="D29" s="11"/>
      <c r="E29" s="9"/>
      <c r="F29" s="11"/>
      <c r="G29" s="9"/>
      <c r="H29" s="11"/>
      <c r="I29" s="70"/>
      <c r="J29" s="11"/>
      <c r="K29" s="9"/>
      <c r="L29" s="11"/>
    </row>
    <row r="30" spans="1:12" s="1" customFormat="1" ht="14.25" x14ac:dyDescent="0.2">
      <c r="A30" s="5" t="s">
        <v>792</v>
      </c>
      <c r="B30" s="7" t="s">
        <v>53</v>
      </c>
      <c r="C30" s="29">
        <v>3811</v>
      </c>
      <c r="D30" s="11">
        <v>348</v>
      </c>
      <c r="E30" s="9">
        <v>0</v>
      </c>
      <c r="F30" s="11">
        <v>2102.5</v>
      </c>
      <c r="G30" s="9">
        <f t="shared" ref="G30:G35" si="3">C30-E30-F30</f>
        <v>1708.5</v>
      </c>
      <c r="H30" s="11">
        <v>55.16</v>
      </c>
      <c r="I30" s="70">
        <v>0</v>
      </c>
      <c r="J30" s="11">
        <f t="shared" ref="J30:J35" si="4">C30+I30</f>
        <v>3811</v>
      </c>
      <c r="K30" s="9">
        <f t="shared" ref="K30:L30" si="5">J30*6/100+J30</f>
        <v>4039.66</v>
      </c>
      <c r="L30" s="11">
        <f t="shared" si="5"/>
        <v>4282.0396000000001</v>
      </c>
    </row>
    <row r="31" spans="1:12" s="1" customFormat="1" ht="14.25" x14ac:dyDescent="0.2">
      <c r="A31" s="5" t="s">
        <v>793</v>
      </c>
      <c r="B31" s="7" t="s">
        <v>55</v>
      </c>
      <c r="C31" s="29">
        <v>76131</v>
      </c>
      <c r="D31" s="11">
        <v>6574.49</v>
      </c>
      <c r="E31" s="9">
        <v>0</v>
      </c>
      <c r="F31" s="11">
        <v>39253.120000000003</v>
      </c>
      <c r="G31" s="9">
        <f t="shared" si="3"/>
        <v>36877.879999999997</v>
      </c>
      <c r="H31" s="11">
        <v>51.55</v>
      </c>
      <c r="I31" s="70">
        <v>0</v>
      </c>
      <c r="J31" s="11">
        <f t="shared" si="4"/>
        <v>76131</v>
      </c>
      <c r="K31" s="9">
        <f t="shared" ref="K31:L31" si="6">J31*6/100+J31</f>
        <v>80698.86</v>
      </c>
      <c r="L31" s="11">
        <f t="shared" si="6"/>
        <v>85540.791599999997</v>
      </c>
    </row>
    <row r="32" spans="1:12" s="1" customFormat="1" ht="14.25" x14ac:dyDescent="0.2">
      <c r="A32" s="5" t="s">
        <v>794</v>
      </c>
      <c r="B32" s="7" t="s">
        <v>57</v>
      </c>
      <c r="C32" s="29">
        <v>1058256</v>
      </c>
      <c r="D32" s="11">
        <v>75112.800000000003</v>
      </c>
      <c r="E32" s="9">
        <v>0</v>
      </c>
      <c r="F32" s="11">
        <v>433710.4</v>
      </c>
      <c r="G32" s="9">
        <f t="shared" si="3"/>
        <v>624545.6</v>
      </c>
      <c r="H32" s="11">
        <v>40.98</v>
      </c>
      <c r="I32" s="70">
        <v>0</v>
      </c>
      <c r="J32" s="11">
        <f t="shared" si="4"/>
        <v>1058256</v>
      </c>
      <c r="K32" s="9">
        <f t="shared" ref="K32:L32" si="7">J32*6/100+J32</f>
        <v>1121751.3600000001</v>
      </c>
      <c r="L32" s="11">
        <f t="shared" si="7"/>
        <v>1189056.4416</v>
      </c>
    </row>
    <row r="33" spans="1:12" s="1" customFormat="1" ht="14.25" x14ac:dyDescent="0.2">
      <c r="A33" s="5" t="s">
        <v>795</v>
      </c>
      <c r="B33" s="7" t="s">
        <v>59</v>
      </c>
      <c r="C33" s="29">
        <v>2183747</v>
      </c>
      <c r="D33" s="11">
        <v>168091.37</v>
      </c>
      <c r="E33" s="9">
        <v>0</v>
      </c>
      <c r="F33" s="11">
        <v>1004931.46</v>
      </c>
      <c r="G33" s="9">
        <f t="shared" si="3"/>
        <v>1178815.54</v>
      </c>
      <c r="H33" s="11">
        <v>46.01</v>
      </c>
      <c r="I33" s="70">
        <v>0</v>
      </c>
      <c r="J33" s="11">
        <f t="shared" si="4"/>
        <v>2183747</v>
      </c>
      <c r="K33" s="9">
        <f t="shared" ref="K33:L33" si="8">J33*6/100+J33</f>
        <v>2314771.8199999998</v>
      </c>
      <c r="L33" s="11">
        <f t="shared" si="8"/>
        <v>2453658.1291999999</v>
      </c>
    </row>
    <row r="34" spans="1:12" s="1" customFormat="1" ht="14.25" x14ac:dyDescent="0.2">
      <c r="A34" s="5" t="s">
        <v>796</v>
      </c>
      <c r="B34" s="7" t="s">
        <v>60</v>
      </c>
      <c r="C34" s="29">
        <v>0</v>
      </c>
      <c r="D34" s="11">
        <v>0</v>
      </c>
      <c r="E34" s="9">
        <v>0</v>
      </c>
      <c r="F34" s="11">
        <v>0</v>
      </c>
      <c r="G34" s="9">
        <f t="shared" si="3"/>
        <v>0</v>
      </c>
      <c r="H34" s="11">
        <v>0</v>
      </c>
      <c r="I34" s="70">
        <v>0</v>
      </c>
      <c r="J34" s="11">
        <f t="shared" si="4"/>
        <v>0</v>
      </c>
      <c r="K34" s="9">
        <f t="shared" ref="K34:L34" si="9">J34*6/100+J34</f>
        <v>0</v>
      </c>
      <c r="L34" s="11">
        <f t="shared" si="9"/>
        <v>0</v>
      </c>
    </row>
    <row r="35" spans="1:12" s="1" customFormat="1" ht="14.25" x14ac:dyDescent="0.2">
      <c r="A35" s="5" t="s">
        <v>797</v>
      </c>
      <c r="B35" s="7" t="s">
        <v>62</v>
      </c>
      <c r="C35" s="29">
        <v>198522</v>
      </c>
      <c r="D35" s="11">
        <v>9661.32</v>
      </c>
      <c r="E35" s="9">
        <v>0</v>
      </c>
      <c r="F35" s="11">
        <v>60478.07</v>
      </c>
      <c r="G35" s="9">
        <f t="shared" si="3"/>
        <v>138043.93</v>
      </c>
      <c r="H35" s="11">
        <v>30.46</v>
      </c>
      <c r="I35" s="70">
        <f>-C35*15/100</f>
        <v>-29778.3</v>
      </c>
      <c r="J35" s="11">
        <f t="shared" si="4"/>
        <v>168743.7</v>
      </c>
      <c r="K35" s="9">
        <f t="shared" ref="K35:L35" si="10">J35*6/100+J35</f>
        <v>178868.32200000001</v>
      </c>
      <c r="L35" s="11">
        <f t="shared" si="10"/>
        <v>189600.42132000002</v>
      </c>
    </row>
    <row r="36" spans="1:12" s="1" customFormat="1" ht="14.25" x14ac:dyDescent="0.2">
      <c r="A36" s="5"/>
      <c r="B36" s="7"/>
      <c r="C36" s="29"/>
      <c r="D36" s="11"/>
      <c r="E36" s="9"/>
      <c r="F36" s="11"/>
      <c r="G36" s="9"/>
      <c r="H36" s="11"/>
      <c r="I36" s="70"/>
      <c r="J36" s="11"/>
      <c r="K36" s="9"/>
      <c r="L36" s="11"/>
    </row>
    <row r="37" spans="1:12" s="3" customFormat="1" x14ac:dyDescent="0.25">
      <c r="A37" s="18"/>
      <c r="B37" s="19" t="s">
        <v>63</v>
      </c>
      <c r="C37" s="28">
        <f>SUM(C30:C36)</f>
        <v>3520467</v>
      </c>
      <c r="D37" s="36">
        <f t="shared" ref="D37:G37" si="11">SUM(D30:D36)</f>
        <v>259787.98</v>
      </c>
      <c r="E37" s="28">
        <f t="shared" si="11"/>
        <v>0</v>
      </c>
      <c r="F37" s="36">
        <f t="shared" si="11"/>
        <v>1540475.55</v>
      </c>
      <c r="G37" s="28">
        <f t="shared" si="11"/>
        <v>1979991.45</v>
      </c>
      <c r="H37" s="21">
        <v>43.75</v>
      </c>
      <c r="I37" s="71">
        <f t="shared" ref="I37:L37" si="12">SUM(I30:I36)</f>
        <v>-29778.3</v>
      </c>
      <c r="J37" s="36">
        <f t="shared" si="12"/>
        <v>3490688.7</v>
      </c>
      <c r="K37" s="28">
        <f t="shared" si="12"/>
        <v>3700130.0220000003</v>
      </c>
      <c r="L37" s="36">
        <f t="shared" si="12"/>
        <v>3922137.82332</v>
      </c>
    </row>
    <row r="38" spans="1:12" s="3" customFormat="1" x14ac:dyDescent="0.25">
      <c r="A38" s="18"/>
      <c r="B38" s="19"/>
      <c r="C38" s="28"/>
      <c r="D38" s="21"/>
      <c r="E38" s="20"/>
      <c r="F38" s="21"/>
      <c r="G38" s="20"/>
      <c r="H38" s="21"/>
      <c r="I38" s="69"/>
      <c r="J38" s="21"/>
      <c r="K38" s="20"/>
      <c r="L38" s="21"/>
    </row>
    <row r="39" spans="1:12" s="3" customFormat="1" x14ac:dyDescent="0.25">
      <c r="A39" s="18"/>
      <c r="B39" s="19" t="s">
        <v>73</v>
      </c>
      <c r="C39" s="28">
        <f>C26+C37</f>
        <v>15942563</v>
      </c>
      <c r="D39" s="36">
        <f t="shared" ref="D39:G39" si="13">D26+D37</f>
        <v>1229430.46</v>
      </c>
      <c r="E39" s="28">
        <f t="shared" si="13"/>
        <v>0</v>
      </c>
      <c r="F39" s="36">
        <f t="shared" si="13"/>
        <v>7635078.5200000005</v>
      </c>
      <c r="G39" s="28">
        <f t="shared" si="13"/>
        <v>8307484.4799999995</v>
      </c>
      <c r="H39" s="21">
        <v>47.89</v>
      </c>
      <c r="I39" s="71">
        <f t="shared" ref="I39:L39" si="14">I26+I37</f>
        <v>109767.90000000001</v>
      </c>
      <c r="J39" s="36">
        <f t="shared" si="14"/>
        <v>16052330.899999999</v>
      </c>
      <c r="K39" s="28">
        <f t="shared" si="14"/>
        <v>16909470.754000001</v>
      </c>
      <c r="L39" s="36">
        <f t="shared" si="14"/>
        <v>17924038.99924</v>
      </c>
    </row>
    <row r="40" spans="1:12" s="3" customFormat="1" x14ac:dyDescent="0.25">
      <c r="A40" s="18"/>
      <c r="B40" s="19"/>
      <c r="C40" s="28"/>
      <c r="D40" s="21"/>
      <c r="E40" s="20"/>
      <c r="F40" s="21"/>
      <c r="G40" s="20"/>
      <c r="H40" s="21"/>
      <c r="I40" s="69"/>
      <c r="J40" s="21"/>
      <c r="K40" s="20"/>
      <c r="L40" s="21"/>
    </row>
    <row r="41" spans="1:12" s="3" customFormat="1" x14ac:dyDescent="0.25">
      <c r="A41" s="18"/>
      <c r="B41" s="19" t="s">
        <v>74</v>
      </c>
      <c r="C41" s="28"/>
      <c r="D41" s="21"/>
      <c r="E41" s="20"/>
      <c r="F41" s="21"/>
      <c r="G41" s="20"/>
      <c r="H41" s="21"/>
      <c r="I41" s="69"/>
      <c r="J41" s="21"/>
      <c r="K41" s="20"/>
      <c r="L41" s="21"/>
    </row>
    <row r="42" spans="1:12" s="3" customFormat="1" x14ac:dyDescent="0.25">
      <c r="A42" s="18"/>
      <c r="B42" s="19"/>
      <c r="C42" s="28"/>
      <c r="D42" s="21"/>
      <c r="E42" s="20"/>
      <c r="F42" s="21"/>
      <c r="G42" s="20"/>
      <c r="H42" s="21"/>
      <c r="I42" s="69"/>
      <c r="J42" s="21"/>
      <c r="K42" s="20"/>
      <c r="L42" s="21"/>
    </row>
    <row r="43" spans="1:12" s="3" customFormat="1" x14ac:dyDescent="0.25">
      <c r="A43" s="18"/>
      <c r="B43" s="19" t="s">
        <v>75</v>
      </c>
      <c r="C43" s="28"/>
      <c r="D43" s="21"/>
      <c r="E43" s="20"/>
      <c r="F43" s="21"/>
      <c r="G43" s="20"/>
      <c r="H43" s="21"/>
      <c r="I43" s="69"/>
      <c r="J43" s="21"/>
      <c r="K43" s="20"/>
      <c r="L43" s="21"/>
    </row>
    <row r="44" spans="1:12" s="3" customFormat="1" x14ac:dyDescent="0.25">
      <c r="A44" s="18"/>
      <c r="B44" s="19"/>
      <c r="C44" s="28"/>
      <c r="D44" s="21"/>
      <c r="E44" s="20"/>
      <c r="F44" s="21"/>
      <c r="G44" s="20"/>
      <c r="H44" s="21"/>
      <c r="I44" s="69"/>
      <c r="J44" s="21"/>
      <c r="K44" s="20"/>
      <c r="L44" s="21"/>
    </row>
    <row r="45" spans="1:12" s="1" customFormat="1" ht="14.25" x14ac:dyDescent="0.2">
      <c r="A45" s="5" t="s">
        <v>798</v>
      </c>
      <c r="B45" s="7" t="s">
        <v>77</v>
      </c>
      <c r="C45" s="29">
        <v>44478</v>
      </c>
      <c r="D45" s="11">
        <v>0</v>
      </c>
      <c r="E45" s="9">
        <v>0</v>
      </c>
      <c r="F45" s="11">
        <v>30406.84</v>
      </c>
      <c r="G45" s="9">
        <f t="shared" ref="G45:G65" si="15">C45-E45-F45</f>
        <v>14071.16</v>
      </c>
      <c r="H45" s="11">
        <v>68.36</v>
      </c>
      <c r="I45" s="70">
        <v>10000</v>
      </c>
      <c r="J45" s="11">
        <f t="shared" ref="J45:J65" si="16">C45+I45</f>
        <v>54478</v>
      </c>
      <c r="K45" s="9">
        <f>J45*6/100+J45</f>
        <v>57746.68</v>
      </c>
      <c r="L45" s="11">
        <f>K45*6/100+K45</f>
        <v>61211.480799999998</v>
      </c>
    </row>
    <row r="46" spans="1:12" s="1" customFormat="1" ht="14.25" x14ac:dyDescent="0.2">
      <c r="A46" s="5" t="s">
        <v>799</v>
      </c>
      <c r="B46" s="7" t="s">
        <v>97</v>
      </c>
      <c r="C46" s="29">
        <v>250000</v>
      </c>
      <c r="D46" s="11">
        <v>0</v>
      </c>
      <c r="E46" s="9">
        <v>0</v>
      </c>
      <c r="F46" s="11">
        <v>0</v>
      </c>
      <c r="G46" s="9">
        <f t="shared" si="15"/>
        <v>250000</v>
      </c>
      <c r="H46" s="11">
        <v>0</v>
      </c>
      <c r="I46" s="70">
        <v>0</v>
      </c>
      <c r="J46" s="11">
        <f t="shared" si="16"/>
        <v>250000</v>
      </c>
      <c r="K46" s="9">
        <v>0</v>
      </c>
      <c r="L46" s="11">
        <v>0</v>
      </c>
    </row>
    <row r="47" spans="1:12" s="1" customFormat="1" ht="14.25" x14ac:dyDescent="0.2">
      <c r="A47" s="5" t="s">
        <v>800</v>
      </c>
      <c r="B47" s="7" t="s">
        <v>99</v>
      </c>
      <c r="C47" s="29">
        <v>0</v>
      </c>
      <c r="D47" s="11">
        <v>0</v>
      </c>
      <c r="E47" s="9">
        <v>0</v>
      </c>
      <c r="F47" s="11">
        <v>0</v>
      </c>
      <c r="G47" s="9">
        <f t="shared" si="15"/>
        <v>0</v>
      </c>
      <c r="H47" s="11">
        <v>0</v>
      </c>
      <c r="I47" s="70">
        <v>0</v>
      </c>
      <c r="J47" s="11">
        <f t="shared" si="16"/>
        <v>0</v>
      </c>
      <c r="K47" s="9"/>
      <c r="L47" s="11"/>
    </row>
    <row r="48" spans="1:12" s="1" customFormat="1" ht="14.25" x14ac:dyDescent="0.2">
      <c r="A48" s="5" t="s">
        <v>801</v>
      </c>
      <c r="B48" s="7" t="s">
        <v>108</v>
      </c>
      <c r="C48" s="29">
        <v>0</v>
      </c>
      <c r="D48" s="11">
        <v>0</v>
      </c>
      <c r="E48" s="9">
        <v>0</v>
      </c>
      <c r="F48" s="11">
        <v>123015</v>
      </c>
      <c r="G48" s="9">
        <f t="shared" si="15"/>
        <v>-123015</v>
      </c>
      <c r="H48" s="11">
        <v>0</v>
      </c>
      <c r="I48" s="70">
        <v>142810</v>
      </c>
      <c r="J48" s="11">
        <f t="shared" si="16"/>
        <v>142810</v>
      </c>
      <c r="K48" s="9">
        <v>0</v>
      </c>
      <c r="L48" s="11">
        <v>0</v>
      </c>
    </row>
    <row r="49" spans="1:12" s="1" customFormat="1" ht="14.25" x14ac:dyDescent="0.2">
      <c r="A49" s="5" t="s">
        <v>802</v>
      </c>
      <c r="B49" s="7" t="s">
        <v>122</v>
      </c>
      <c r="C49" s="29">
        <v>50000</v>
      </c>
      <c r="D49" s="11">
        <v>0</v>
      </c>
      <c r="E49" s="9">
        <v>0</v>
      </c>
      <c r="F49" s="11">
        <v>0</v>
      </c>
      <c r="G49" s="9">
        <f t="shared" si="15"/>
        <v>50000</v>
      </c>
      <c r="H49" s="11">
        <v>0</v>
      </c>
      <c r="I49" s="70">
        <v>-40000</v>
      </c>
      <c r="J49" s="11">
        <f t="shared" si="16"/>
        <v>10000</v>
      </c>
      <c r="K49" s="9">
        <f t="shared" ref="K49:L49" si="17">J49*6/100+J49</f>
        <v>10600</v>
      </c>
      <c r="L49" s="11">
        <f t="shared" si="17"/>
        <v>11236</v>
      </c>
    </row>
    <row r="50" spans="1:12" s="1" customFormat="1" ht="14.25" x14ac:dyDescent="0.2">
      <c r="A50" s="5" t="s">
        <v>803</v>
      </c>
      <c r="B50" s="7" t="s">
        <v>128</v>
      </c>
      <c r="C50" s="29">
        <v>70000</v>
      </c>
      <c r="D50" s="11">
        <v>0</v>
      </c>
      <c r="E50" s="9">
        <v>0</v>
      </c>
      <c r="F50" s="11">
        <v>4088.15</v>
      </c>
      <c r="G50" s="9">
        <f t="shared" si="15"/>
        <v>65911.850000000006</v>
      </c>
      <c r="H50" s="11">
        <v>5.84</v>
      </c>
      <c r="I50" s="70">
        <v>-60000</v>
      </c>
      <c r="J50" s="11">
        <f t="shared" si="16"/>
        <v>10000</v>
      </c>
      <c r="K50" s="9">
        <f t="shared" ref="K50:L50" si="18">J50*6/100+J50</f>
        <v>10600</v>
      </c>
      <c r="L50" s="11">
        <f t="shared" si="18"/>
        <v>11236</v>
      </c>
    </row>
    <row r="51" spans="1:12" s="1" customFormat="1" ht="14.25" x14ac:dyDescent="0.2">
      <c r="A51" s="5" t="s">
        <v>804</v>
      </c>
      <c r="B51" s="7" t="s">
        <v>137</v>
      </c>
      <c r="C51" s="29">
        <v>131816</v>
      </c>
      <c r="D51" s="11">
        <v>24694.06</v>
      </c>
      <c r="E51" s="9">
        <v>0</v>
      </c>
      <c r="F51" s="11">
        <v>107325.72</v>
      </c>
      <c r="G51" s="9">
        <f t="shared" si="15"/>
        <v>24490.28</v>
      </c>
      <c r="H51" s="11">
        <v>81.42</v>
      </c>
      <c r="I51" s="70">
        <v>60000</v>
      </c>
      <c r="J51" s="11">
        <f t="shared" si="16"/>
        <v>191816</v>
      </c>
      <c r="K51" s="9">
        <f t="shared" ref="K51:L51" si="19">J51*6/100+J51</f>
        <v>203324.96</v>
      </c>
      <c r="L51" s="11">
        <f t="shared" si="19"/>
        <v>215524.45759999999</v>
      </c>
    </row>
    <row r="52" spans="1:12" s="1" customFormat="1" ht="14.25" x14ac:dyDescent="0.2">
      <c r="A52" s="5" t="s">
        <v>805</v>
      </c>
      <c r="B52" s="7" t="s">
        <v>139</v>
      </c>
      <c r="C52" s="29">
        <v>13386</v>
      </c>
      <c r="D52" s="11">
        <v>1144</v>
      </c>
      <c r="E52" s="9">
        <v>0</v>
      </c>
      <c r="F52" s="11">
        <v>2864.57</v>
      </c>
      <c r="G52" s="9">
        <f t="shared" si="15"/>
        <v>10521.43</v>
      </c>
      <c r="H52" s="11">
        <v>21.39</v>
      </c>
      <c r="I52" s="70">
        <v>0</v>
      </c>
      <c r="J52" s="11">
        <f t="shared" si="16"/>
        <v>13386</v>
      </c>
      <c r="K52" s="9">
        <f t="shared" ref="K52:L52" si="20">J52*6/100+J52</f>
        <v>14189.16</v>
      </c>
      <c r="L52" s="11">
        <f t="shared" si="20"/>
        <v>15040.509599999999</v>
      </c>
    </row>
    <row r="53" spans="1:12" s="1" customFormat="1" ht="14.25" x14ac:dyDescent="0.2">
      <c r="A53" s="5" t="s">
        <v>806</v>
      </c>
      <c r="B53" s="7" t="s">
        <v>173</v>
      </c>
      <c r="C53" s="29">
        <v>50000</v>
      </c>
      <c r="D53" s="11">
        <v>1253.94</v>
      </c>
      <c r="E53" s="9">
        <v>0</v>
      </c>
      <c r="F53" s="11">
        <v>6795.46</v>
      </c>
      <c r="G53" s="9">
        <f t="shared" si="15"/>
        <v>43204.54</v>
      </c>
      <c r="H53" s="11">
        <v>13.59</v>
      </c>
      <c r="I53" s="70">
        <v>0</v>
      </c>
      <c r="J53" s="11">
        <f t="shared" si="16"/>
        <v>50000</v>
      </c>
      <c r="K53" s="9">
        <f t="shared" ref="K53:L53" si="21">J53*6/100+J53</f>
        <v>53000</v>
      </c>
      <c r="L53" s="11">
        <f t="shared" si="21"/>
        <v>56180</v>
      </c>
    </row>
    <row r="54" spans="1:12" s="1" customFormat="1" ht="14.25" x14ac:dyDescent="0.2">
      <c r="A54" s="5" t="s">
        <v>807</v>
      </c>
      <c r="B54" s="7" t="s">
        <v>187</v>
      </c>
      <c r="C54" s="29">
        <v>2500</v>
      </c>
      <c r="D54" s="11">
        <v>0</v>
      </c>
      <c r="E54" s="9">
        <v>0</v>
      </c>
      <c r="F54" s="11">
        <v>0</v>
      </c>
      <c r="G54" s="9">
        <f t="shared" si="15"/>
        <v>2500</v>
      </c>
      <c r="H54" s="11">
        <v>0</v>
      </c>
      <c r="I54" s="70">
        <v>0</v>
      </c>
      <c r="J54" s="11">
        <f t="shared" si="16"/>
        <v>2500</v>
      </c>
      <c r="K54" s="9">
        <f t="shared" ref="K54:L54" si="22">J54*6/100+J54</f>
        <v>2650</v>
      </c>
      <c r="L54" s="11">
        <f t="shared" si="22"/>
        <v>2809</v>
      </c>
    </row>
    <row r="55" spans="1:12" s="1" customFormat="1" ht="14.25" x14ac:dyDescent="0.2">
      <c r="A55" s="5" t="s">
        <v>808</v>
      </c>
      <c r="B55" s="7" t="s">
        <v>205</v>
      </c>
      <c r="C55" s="29">
        <v>95220</v>
      </c>
      <c r="D55" s="11">
        <v>0</v>
      </c>
      <c r="E55" s="9">
        <v>0</v>
      </c>
      <c r="F55" s="11">
        <v>0</v>
      </c>
      <c r="G55" s="9">
        <f t="shared" si="15"/>
        <v>95220</v>
      </c>
      <c r="H55" s="11">
        <v>0</v>
      </c>
      <c r="I55" s="70">
        <v>-95220</v>
      </c>
      <c r="J55" s="11">
        <f t="shared" si="16"/>
        <v>0</v>
      </c>
      <c r="K55" s="9">
        <f>'[2]ALL DEPARTMENTS'!$I$1047</f>
        <v>100457.1</v>
      </c>
      <c r="L55" s="11">
        <f t="shared" ref="L55" si="23">K55*6/100+K55</f>
        <v>106484.52600000001</v>
      </c>
    </row>
    <row r="56" spans="1:12" s="1" customFormat="1" ht="14.25" x14ac:dyDescent="0.2">
      <c r="A56" s="5" t="s">
        <v>809</v>
      </c>
      <c r="B56" s="7" t="s">
        <v>209</v>
      </c>
      <c r="C56" s="29">
        <v>21160</v>
      </c>
      <c r="D56" s="11">
        <v>0</v>
      </c>
      <c r="E56" s="9">
        <v>0</v>
      </c>
      <c r="F56" s="11">
        <v>0</v>
      </c>
      <c r="G56" s="9">
        <f t="shared" si="15"/>
        <v>21160</v>
      </c>
      <c r="H56" s="11">
        <v>0</v>
      </c>
      <c r="I56" s="70">
        <v>0</v>
      </c>
      <c r="J56" s="11">
        <f t="shared" si="16"/>
        <v>21160</v>
      </c>
      <c r="K56" s="9">
        <f t="shared" ref="K56:L56" si="24">J56*6/100+J56</f>
        <v>22429.599999999999</v>
      </c>
      <c r="L56" s="11">
        <f t="shared" si="24"/>
        <v>23775.375999999997</v>
      </c>
    </row>
    <row r="57" spans="1:12" s="1" customFormat="1" ht="14.25" x14ac:dyDescent="0.2">
      <c r="A57" s="5" t="s">
        <v>810</v>
      </c>
      <c r="B57" s="7" t="s">
        <v>217</v>
      </c>
      <c r="C57" s="29">
        <v>2000</v>
      </c>
      <c r="D57" s="11">
        <v>0</v>
      </c>
      <c r="E57" s="9">
        <v>0</v>
      </c>
      <c r="F57" s="11">
        <v>0</v>
      </c>
      <c r="G57" s="9">
        <f t="shared" si="15"/>
        <v>2000</v>
      </c>
      <c r="H57" s="11">
        <v>0</v>
      </c>
      <c r="I57" s="70">
        <v>0</v>
      </c>
      <c r="J57" s="11">
        <f t="shared" si="16"/>
        <v>2000</v>
      </c>
      <c r="K57" s="9">
        <f t="shared" ref="K57:L57" si="25">J57*6/100+J57</f>
        <v>2120</v>
      </c>
      <c r="L57" s="11">
        <f t="shared" si="25"/>
        <v>2247.1999999999998</v>
      </c>
    </row>
    <row r="58" spans="1:12" s="1" customFormat="1" ht="14.25" x14ac:dyDescent="0.2">
      <c r="A58" s="5" t="s">
        <v>811</v>
      </c>
      <c r="B58" s="7" t="s">
        <v>775</v>
      </c>
      <c r="C58" s="29">
        <v>0</v>
      </c>
      <c r="D58" s="11">
        <v>0</v>
      </c>
      <c r="E58" s="9">
        <v>0</v>
      </c>
      <c r="F58" s="11">
        <v>0</v>
      </c>
      <c r="G58" s="9">
        <f t="shared" si="15"/>
        <v>0</v>
      </c>
      <c r="H58" s="11">
        <v>0</v>
      </c>
      <c r="I58" s="70">
        <v>0</v>
      </c>
      <c r="J58" s="11">
        <f t="shared" si="16"/>
        <v>0</v>
      </c>
      <c r="K58" s="9">
        <f t="shared" ref="K58:L58" si="26">J58*6/100+J58</f>
        <v>0</v>
      </c>
      <c r="L58" s="11">
        <f t="shared" si="26"/>
        <v>0</v>
      </c>
    </row>
    <row r="59" spans="1:12" s="1" customFormat="1" ht="14.25" x14ac:dyDescent="0.2">
      <c r="A59" s="5" t="s">
        <v>812</v>
      </c>
      <c r="B59" s="7" t="s">
        <v>236</v>
      </c>
      <c r="C59" s="29">
        <v>37030</v>
      </c>
      <c r="D59" s="11">
        <v>2211.7800000000002</v>
      </c>
      <c r="E59" s="9">
        <v>0</v>
      </c>
      <c r="F59" s="11">
        <v>4729.43</v>
      </c>
      <c r="G59" s="9">
        <f t="shared" si="15"/>
        <v>32300.57</v>
      </c>
      <c r="H59" s="11">
        <v>12.77</v>
      </c>
      <c r="I59" s="70">
        <v>10000</v>
      </c>
      <c r="J59" s="11">
        <f t="shared" si="16"/>
        <v>47030</v>
      </c>
      <c r="K59" s="9">
        <f t="shared" ref="K59:L59" si="27">J59*6/100+J59</f>
        <v>49851.8</v>
      </c>
      <c r="L59" s="11">
        <f t="shared" si="27"/>
        <v>52842.908000000003</v>
      </c>
    </row>
    <row r="60" spans="1:12" s="1" customFormat="1" ht="14.25" x14ac:dyDescent="0.2">
      <c r="A60" s="5" t="s">
        <v>813</v>
      </c>
      <c r="B60" s="7" t="s">
        <v>240</v>
      </c>
      <c r="C60" s="29">
        <v>22509</v>
      </c>
      <c r="D60" s="11">
        <v>4000</v>
      </c>
      <c r="E60" s="9">
        <v>7500</v>
      </c>
      <c r="F60" s="11">
        <v>4000</v>
      </c>
      <c r="G60" s="9">
        <f t="shared" si="15"/>
        <v>11009</v>
      </c>
      <c r="H60" s="11">
        <v>17.77</v>
      </c>
      <c r="I60" s="70">
        <v>0</v>
      </c>
      <c r="J60" s="11">
        <f t="shared" si="16"/>
        <v>22509</v>
      </c>
      <c r="K60" s="9">
        <f t="shared" ref="K60:L60" si="28">J60*6/100+J60</f>
        <v>23859.54</v>
      </c>
      <c r="L60" s="11">
        <f t="shared" si="28"/>
        <v>25291.112400000002</v>
      </c>
    </row>
    <row r="61" spans="1:12" s="1" customFormat="1" ht="14.25" x14ac:dyDescent="0.2">
      <c r="A61" s="5" t="s">
        <v>814</v>
      </c>
      <c r="B61" s="7" t="s">
        <v>243</v>
      </c>
      <c r="C61" s="29">
        <v>0</v>
      </c>
      <c r="D61" s="11">
        <v>0</v>
      </c>
      <c r="E61" s="9">
        <v>0</v>
      </c>
      <c r="F61" s="11">
        <v>0</v>
      </c>
      <c r="G61" s="9">
        <f t="shared" si="15"/>
        <v>0</v>
      </c>
      <c r="H61" s="11">
        <v>0</v>
      </c>
      <c r="I61" s="70">
        <v>0</v>
      </c>
      <c r="J61" s="11">
        <f t="shared" si="16"/>
        <v>0</v>
      </c>
      <c r="K61" s="9">
        <f t="shared" ref="K61:L61" si="29">J61*6/100+J61</f>
        <v>0</v>
      </c>
      <c r="L61" s="11">
        <f t="shared" si="29"/>
        <v>0</v>
      </c>
    </row>
    <row r="62" spans="1:12" s="1" customFormat="1" ht="14.25" x14ac:dyDescent="0.2">
      <c r="A62" s="5" t="s">
        <v>815</v>
      </c>
      <c r="B62" s="7" t="s">
        <v>254</v>
      </c>
      <c r="C62" s="29">
        <v>0</v>
      </c>
      <c r="D62" s="11">
        <v>0</v>
      </c>
      <c r="E62" s="9">
        <v>0</v>
      </c>
      <c r="F62" s="11">
        <v>0</v>
      </c>
      <c r="G62" s="9">
        <f t="shared" si="15"/>
        <v>0</v>
      </c>
      <c r="H62" s="11">
        <v>0</v>
      </c>
      <c r="I62" s="70">
        <v>0</v>
      </c>
      <c r="J62" s="11">
        <f t="shared" si="16"/>
        <v>0</v>
      </c>
      <c r="K62" s="9">
        <f t="shared" ref="K62:L62" si="30">J62*6/100+J62</f>
        <v>0</v>
      </c>
      <c r="L62" s="11">
        <f t="shared" si="30"/>
        <v>0</v>
      </c>
    </row>
    <row r="63" spans="1:12" s="1" customFormat="1" ht="14.25" x14ac:dyDescent="0.2">
      <c r="A63" s="5" t="s">
        <v>816</v>
      </c>
      <c r="B63" s="7" t="s">
        <v>260</v>
      </c>
      <c r="C63" s="29">
        <v>0</v>
      </c>
      <c r="D63" s="11">
        <v>0</v>
      </c>
      <c r="E63" s="9">
        <v>0</v>
      </c>
      <c r="F63" s="11">
        <v>0</v>
      </c>
      <c r="G63" s="9">
        <f t="shared" si="15"/>
        <v>0</v>
      </c>
      <c r="H63" s="11">
        <v>0</v>
      </c>
      <c r="I63" s="70">
        <v>0</v>
      </c>
      <c r="J63" s="11">
        <f t="shared" si="16"/>
        <v>0</v>
      </c>
      <c r="K63" s="9">
        <f t="shared" ref="K63:L63" si="31">J63*6/100+J63</f>
        <v>0</v>
      </c>
      <c r="L63" s="11">
        <f t="shared" si="31"/>
        <v>0</v>
      </c>
    </row>
    <row r="64" spans="1:12" s="1" customFormat="1" ht="14.25" x14ac:dyDescent="0.2">
      <c r="A64" s="5" t="s">
        <v>817</v>
      </c>
      <c r="B64" s="7" t="s">
        <v>262</v>
      </c>
      <c r="C64" s="29">
        <v>15000</v>
      </c>
      <c r="D64" s="11">
        <v>0</v>
      </c>
      <c r="E64" s="9">
        <v>0</v>
      </c>
      <c r="F64" s="11">
        <v>0</v>
      </c>
      <c r="G64" s="9">
        <f t="shared" si="15"/>
        <v>15000</v>
      </c>
      <c r="H64" s="11">
        <v>0</v>
      </c>
      <c r="I64" s="70">
        <v>-10000</v>
      </c>
      <c r="J64" s="11">
        <f t="shared" si="16"/>
        <v>5000</v>
      </c>
      <c r="K64" s="9">
        <f t="shared" ref="K64:L64" si="32">J64*6/100+J64</f>
        <v>5300</v>
      </c>
      <c r="L64" s="11">
        <f t="shared" si="32"/>
        <v>5618</v>
      </c>
    </row>
    <row r="65" spans="1:12" s="1" customFormat="1" ht="14.25" x14ac:dyDescent="0.2">
      <c r="A65" s="5" t="s">
        <v>818</v>
      </c>
      <c r="B65" s="7" t="s">
        <v>275</v>
      </c>
      <c r="C65" s="29">
        <v>500000</v>
      </c>
      <c r="D65" s="11">
        <v>50480</v>
      </c>
      <c r="E65" s="9">
        <v>48850</v>
      </c>
      <c r="F65" s="11">
        <v>283830</v>
      </c>
      <c r="G65" s="9">
        <f t="shared" si="15"/>
        <v>167320</v>
      </c>
      <c r="H65" s="11">
        <v>56.76</v>
      </c>
      <c r="I65" s="70">
        <v>0</v>
      </c>
      <c r="J65" s="11">
        <f t="shared" si="16"/>
        <v>500000</v>
      </c>
      <c r="K65" s="9">
        <v>0</v>
      </c>
      <c r="L65" s="11">
        <v>0</v>
      </c>
    </row>
    <row r="66" spans="1:12" s="1" customFormat="1" ht="14.25" x14ac:dyDescent="0.2">
      <c r="A66" s="5"/>
      <c r="B66" s="7"/>
      <c r="C66" s="29"/>
      <c r="D66" s="11"/>
      <c r="E66" s="9"/>
      <c r="F66" s="11"/>
      <c r="G66" s="9"/>
      <c r="H66" s="11"/>
      <c r="I66" s="70"/>
      <c r="J66" s="11"/>
      <c r="K66" s="9"/>
      <c r="L66" s="11"/>
    </row>
    <row r="67" spans="1:12" s="3" customFormat="1" x14ac:dyDescent="0.25">
      <c r="A67" s="18"/>
      <c r="B67" s="19" t="s">
        <v>287</v>
      </c>
      <c r="C67" s="28">
        <f>SUM(C45:C66)</f>
        <v>1305099</v>
      </c>
      <c r="D67" s="36">
        <f t="shared" ref="D67:G67" si="33">SUM(D45:D66)</f>
        <v>83783.78</v>
      </c>
      <c r="E67" s="28">
        <f t="shared" si="33"/>
        <v>56350</v>
      </c>
      <c r="F67" s="36">
        <f t="shared" si="33"/>
        <v>567055.16999999993</v>
      </c>
      <c r="G67" s="28">
        <f t="shared" si="33"/>
        <v>681693.83</v>
      </c>
      <c r="H67" s="21">
        <v>43.44</v>
      </c>
      <c r="I67" s="71">
        <f t="shared" ref="I67:L67" si="34">SUM(I45:I66)</f>
        <v>17590</v>
      </c>
      <c r="J67" s="36">
        <f t="shared" si="34"/>
        <v>1322689</v>
      </c>
      <c r="K67" s="28">
        <f t="shared" si="34"/>
        <v>556128.84000000008</v>
      </c>
      <c r="L67" s="36">
        <f t="shared" si="34"/>
        <v>589496.57039999997</v>
      </c>
    </row>
    <row r="68" spans="1:12" s="3" customFormat="1" x14ac:dyDescent="0.25">
      <c r="A68" s="18"/>
      <c r="B68" s="19"/>
      <c r="C68" s="28"/>
      <c r="D68" s="21"/>
      <c r="E68" s="20"/>
      <c r="F68" s="21"/>
      <c r="G68" s="20"/>
      <c r="H68" s="21"/>
      <c r="I68" s="69"/>
      <c r="J68" s="21"/>
      <c r="K68" s="20"/>
      <c r="L68" s="21"/>
    </row>
    <row r="69" spans="1:12" s="3" customFormat="1" x14ac:dyDescent="0.25">
      <c r="A69" s="18"/>
      <c r="B69" s="19" t="s">
        <v>292</v>
      </c>
      <c r="C69" s="28">
        <f>C67</f>
        <v>1305099</v>
      </c>
      <c r="D69" s="36">
        <f t="shared" ref="D69:L69" si="35">D67</f>
        <v>83783.78</v>
      </c>
      <c r="E69" s="28">
        <f t="shared" si="35"/>
        <v>56350</v>
      </c>
      <c r="F69" s="36">
        <f t="shared" si="35"/>
        <v>567055.16999999993</v>
      </c>
      <c r="G69" s="28">
        <f t="shared" si="35"/>
        <v>681693.83</v>
      </c>
      <c r="H69" s="21">
        <v>43.44</v>
      </c>
      <c r="I69" s="71">
        <f t="shared" si="35"/>
        <v>17590</v>
      </c>
      <c r="J69" s="36">
        <f t="shared" si="35"/>
        <v>1322689</v>
      </c>
      <c r="K69" s="28">
        <f t="shared" si="35"/>
        <v>556128.84000000008</v>
      </c>
      <c r="L69" s="36">
        <f t="shared" si="35"/>
        <v>589496.57039999997</v>
      </c>
    </row>
    <row r="70" spans="1:12" s="3" customFormat="1" x14ac:dyDescent="0.25">
      <c r="A70" s="18"/>
      <c r="B70" s="19"/>
      <c r="C70" s="28"/>
      <c r="D70" s="21"/>
      <c r="E70" s="20"/>
      <c r="F70" s="21"/>
      <c r="G70" s="20"/>
      <c r="H70" s="21"/>
      <c r="I70" s="69"/>
      <c r="J70" s="21"/>
      <c r="K70" s="20"/>
      <c r="L70" s="21"/>
    </row>
    <row r="71" spans="1:12" s="3" customFormat="1" x14ac:dyDescent="0.25">
      <c r="A71" s="18"/>
      <c r="B71" s="19" t="s">
        <v>293</v>
      </c>
      <c r="C71" s="28"/>
      <c r="D71" s="21"/>
      <c r="E71" s="20"/>
      <c r="F71" s="21"/>
      <c r="G71" s="20"/>
      <c r="H71" s="21"/>
      <c r="I71" s="69"/>
      <c r="J71" s="21"/>
      <c r="K71" s="20"/>
      <c r="L71" s="21"/>
    </row>
    <row r="72" spans="1:12" s="3" customFormat="1" x14ac:dyDescent="0.25">
      <c r="A72" s="18"/>
      <c r="B72" s="19"/>
      <c r="C72" s="28"/>
      <c r="D72" s="21"/>
      <c r="E72" s="20"/>
      <c r="F72" s="21"/>
      <c r="G72" s="20"/>
      <c r="H72" s="21"/>
      <c r="I72" s="69"/>
      <c r="J72" s="21"/>
      <c r="K72" s="20"/>
      <c r="L72" s="21"/>
    </row>
    <row r="73" spans="1:12" s="1" customFormat="1" ht="14.25" x14ac:dyDescent="0.2">
      <c r="A73" s="5" t="s">
        <v>819</v>
      </c>
      <c r="B73" s="7" t="s">
        <v>296</v>
      </c>
      <c r="C73" s="29">
        <v>0</v>
      </c>
      <c r="D73" s="11">
        <v>0</v>
      </c>
      <c r="E73" s="9">
        <v>0</v>
      </c>
      <c r="F73" s="11">
        <v>0</v>
      </c>
      <c r="G73" s="9">
        <f t="shared" ref="G73:G75" si="36">C73-E73-F73</f>
        <v>0</v>
      </c>
      <c r="H73" s="11">
        <v>0</v>
      </c>
      <c r="I73" s="70"/>
      <c r="J73" s="11">
        <f t="shared" ref="J73:J75" si="37">C73+I73</f>
        <v>0</v>
      </c>
      <c r="K73" s="9"/>
      <c r="L73" s="11"/>
    </row>
    <row r="74" spans="1:12" s="1" customFormat="1" ht="14.25" x14ac:dyDescent="0.2">
      <c r="A74" s="5" t="s">
        <v>820</v>
      </c>
      <c r="B74" s="7" t="s">
        <v>298</v>
      </c>
      <c r="C74" s="29">
        <v>77795</v>
      </c>
      <c r="D74" s="11">
        <v>13484.1</v>
      </c>
      <c r="E74" s="9">
        <v>5683.86</v>
      </c>
      <c r="F74" s="11">
        <v>67420.5</v>
      </c>
      <c r="G74" s="9">
        <f t="shared" si="36"/>
        <v>4690.6399999999994</v>
      </c>
      <c r="H74" s="11">
        <v>86.66</v>
      </c>
      <c r="I74" s="70">
        <f>85000+9500</f>
        <v>94500</v>
      </c>
      <c r="J74" s="11">
        <f t="shared" si="37"/>
        <v>172295</v>
      </c>
      <c r="K74" s="9">
        <f t="shared" ref="K74:L74" si="38">J74*6/100+J74</f>
        <v>182632.7</v>
      </c>
      <c r="L74" s="11">
        <f t="shared" si="38"/>
        <v>193590.66200000001</v>
      </c>
    </row>
    <row r="75" spans="1:12" s="1" customFormat="1" ht="14.25" x14ac:dyDescent="0.2">
      <c r="A75" s="5" t="s">
        <v>821</v>
      </c>
      <c r="B75" s="7" t="s">
        <v>822</v>
      </c>
      <c r="C75" s="29">
        <v>50000</v>
      </c>
      <c r="D75" s="11">
        <v>0</v>
      </c>
      <c r="E75" s="9">
        <v>0</v>
      </c>
      <c r="F75" s="11">
        <v>146.5</v>
      </c>
      <c r="G75" s="9">
        <f t="shared" si="36"/>
        <v>49853.5</v>
      </c>
      <c r="H75" s="11">
        <v>0.28999999999999998</v>
      </c>
      <c r="I75" s="70">
        <v>-49500</v>
      </c>
      <c r="J75" s="11">
        <f t="shared" si="37"/>
        <v>500</v>
      </c>
      <c r="K75" s="9">
        <f t="shared" ref="K75:L75" si="39">J75*6/100+J75</f>
        <v>530</v>
      </c>
      <c r="L75" s="11">
        <f t="shared" si="39"/>
        <v>561.79999999999995</v>
      </c>
    </row>
    <row r="76" spans="1:12" s="1" customFormat="1" ht="14.25" x14ac:dyDescent="0.2">
      <c r="A76" s="5"/>
      <c r="B76" s="7"/>
      <c r="C76" s="29"/>
      <c r="D76" s="11"/>
      <c r="E76" s="9"/>
      <c r="F76" s="11"/>
      <c r="G76" s="9"/>
      <c r="H76" s="11"/>
      <c r="I76" s="70"/>
      <c r="J76" s="11"/>
      <c r="K76" s="9"/>
      <c r="L76" s="11"/>
    </row>
    <row r="77" spans="1:12" s="3" customFormat="1" x14ac:dyDescent="0.25">
      <c r="A77" s="18"/>
      <c r="B77" s="19" t="s">
        <v>1003</v>
      </c>
      <c r="C77" s="28">
        <f>SUM(C73:C76)</f>
        <v>127795</v>
      </c>
      <c r="D77" s="36">
        <f t="shared" ref="D77:G77" si="40">SUM(D73:D76)</f>
        <v>13484.1</v>
      </c>
      <c r="E77" s="28">
        <f t="shared" si="40"/>
        <v>5683.86</v>
      </c>
      <c r="F77" s="36">
        <f t="shared" si="40"/>
        <v>67567</v>
      </c>
      <c r="G77" s="28">
        <f t="shared" si="40"/>
        <v>54544.14</v>
      </c>
      <c r="H77" s="21">
        <v>52.87</v>
      </c>
      <c r="I77" s="71">
        <f t="shared" ref="I77:L77" si="41">SUM(I73:I76)</f>
        <v>45000</v>
      </c>
      <c r="J77" s="36">
        <f t="shared" si="41"/>
        <v>172795</v>
      </c>
      <c r="K77" s="28">
        <f t="shared" si="41"/>
        <v>183162.7</v>
      </c>
      <c r="L77" s="36">
        <f t="shared" si="41"/>
        <v>194152.462</v>
      </c>
    </row>
    <row r="78" spans="1:12" s="1" customFormat="1" ht="14.25" x14ac:dyDescent="0.2">
      <c r="A78" s="5"/>
      <c r="B78" s="7"/>
      <c r="C78" s="29"/>
      <c r="D78" s="11"/>
      <c r="E78" s="9"/>
      <c r="F78" s="11"/>
      <c r="G78" s="9"/>
      <c r="H78" s="11"/>
      <c r="I78" s="70"/>
      <c r="J78" s="11"/>
      <c r="K78" s="9"/>
      <c r="L78" s="11"/>
    </row>
    <row r="79" spans="1:12" s="3" customFormat="1" x14ac:dyDescent="0.25">
      <c r="A79" s="18"/>
      <c r="B79" s="19" t="s">
        <v>338</v>
      </c>
      <c r="C79" s="28">
        <f>C39+C69+C77</f>
        <v>17375457</v>
      </c>
      <c r="D79" s="36">
        <f t="shared" ref="D79:G79" si="42">D39+D69+D77</f>
        <v>1326698.3400000001</v>
      </c>
      <c r="E79" s="28">
        <f t="shared" si="42"/>
        <v>62033.86</v>
      </c>
      <c r="F79" s="36">
        <f t="shared" si="42"/>
        <v>8269700.6900000004</v>
      </c>
      <c r="G79" s="28">
        <f t="shared" si="42"/>
        <v>9043722.4499999993</v>
      </c>
      <c r="H79" s="21">
        <v>47.59</v>
      </c>
      <c r="I79" s="71">
        <f t="shared" ref="I79:L79" si="43">I39+I69+I77</f>
        <v>172357.90000000002</v>
      </c>
      <c r="J79" s="36">
        <f t="shared" si="43"/>
        <v>17547814.899999999</v>
      </c>
      <c r="K79" s="28">
        <f t="shared" si="43"/>
        <v>17648762.294</v>
      </c>
      <c r="L79" s="36">
        <f t="shared" si="43"/>
        <v>18707688.031640001</v>
      </c>
    </row>
    <row r="80" spans="1:12" s="1" customFormat="1" ht="14.25" x14ac:dyDescent="0.2">
      <c r="A80" s="5"/>
      <c r="B80" s="7"/>
      <c r="C80" s="29"/>
      <c r="D80" s="11"/>
      <c r="E80" s="9"/>
      <c r="F80" s="11"/>
      <c r="G80" s="9"/>
      <c r="H80" s="11"/>
      <c r="I80" s="70"/>
      <c r="J80" s="11"/>
      <c r="K80" s="9"/>
      <c r="L80" s="11"/>
    </row>
    <row r="81" spans="1:12" s="3" customFormat="1" x14ac:dyDescent="0.25">
      <c r="A81" s="18"/>
      <c r="B81" s="19" t="s">
        <v>339</v>
      </c>
      <c r="C81" s="28">
        <f>C79</f>
        <v>17375457</v>
      </c>
      <c r="D81" s="36">
        <f t="shared" ref="D81:L81" si="44">D79</f>
        <v>1326698.3400000001</v>
      </c>
      <c r="E81" s="28">
        <f t="shared" si="44"/>
        <v>62033.86</v>
      </c>
      <c r="F81" s="36">
        <f t="shared" si="44"/>
        <v>8269700.6900000004</v>
      </c>
      <c r="G81" s="28">
        <f t="shared" si="44"/>
        <v>9043722.4499999993</v>
      </c>
      <c r="H81" s="21">
        <v>47.59</v>
      </c>
      <c r="I81" s="71">
        <f t="shared" si="44"/>
        <v>172357.90000000002</v>
      </c>
      <c r="J81" s="36">
        <f t="shared" si="44"/>
        <v>17547814.899999999</v>
      </c>
      <c r="K81" s="28">
        <f t="shared" si="44"/>
        <v>17648762.294</v>
      </c>
      <c r="L81" s="36">
        <f t="shared" si="44"/>
        <v>18707688.031640001</v>
      </c>
    </row>
    <row r="82" spans="1:12" s="3" customFormat="1" x14ac:dyDescent="0.25">
      <c r="A82" s="18"/>
      <c r="B82" s="19"/>
      <c r="C82" s="28"/>
      <c r="D82" s="21"/>
      <c r="E82" s="20"/>
      <c r="F82" s="21"/>
      <c r="G82" s="20"/>
      <c r="H82" s="21"/>
      <c r="I82" s="69"/>
      <c r="J82" s="21"/>
      <c r="K82" s="20"/>
      <c r="L82" s="21"/>
    </row>
    <row r="83" spans="1:12" s="3" customFormat="1" x14ac:dyDescent="0.25">
      <c r="A83" s="18"/>
      <c r="B83" s="19" t="s">
        <v>340</v>
      </c>
      <c r="C83" s="28"/>
      <c r="D83" s="21"/>
      <c r="E83" s="20"/>
      <c r="F83" s="21"/>
      <c r="G83" s="20"/>
      <c r="H83" s="21"/>
      <c r="I83" s="69"/>
      <c r="J83" s="21"/>
      <c r="K83" s="20"/>
      <c r="L83" s="21"/>
    </row>
    <row r="84" spans="1:12" s="3" customFormat="1" x14ac:dyDescent="0.25">
      <c r="A84" s="18"/>
      <c r="B84" s="19"/>
      <c r="C84" s="28"/>
      <c r="D84" s="21"/>
      <c r="E84" s="20"/>
      <c r="F84" s="21"/>
      <c r="G84" s="20"/>
      <c r="H84" s="21"/>
      <c r="I84" s="69"/>
      <c r="J84" s="21"/>
      <c r="K84" s="20"/>
      <c r="L84" s="21"/>
    </row>
    <row r="85" spans="1:12" s="3" customFormat="1" x14ac:dyDescent="0.25">
      <c r="A85" s="18"/>
      <c r="B85" s="19" t="s">
        <v>345</v>
      </c>
      <c r="C85" s="28"/>
      <c r="D85" s="21"/>
      <c r="E85" s="20"/>
      <c r="F85" s="21"/>
      <c r="G85" s="20"/>
      <c r="H85" s="21"/>
      <c r="I85" s="69"/>
      <c r="J85" s="21"/>
      <c r="K85" s="20"/>
      <c r="L85" s="21"/>
    </row>
    <row r="86" spans="1:12" s="3" customFormat="1" x14ac:dyDescent="0.25">
      <c r="A86" s="18"/>
      <c r="B86" s="19"/>
      <c r="C86" s="28"/>
      <c r="D86" s="21"/>
      <c r="E86" s="20"/>
      <c r="F86" s="21"/>
      <c r="G86" s="20"/>
      <c r="H86" s="21"/>
      <c r="I86" s="69"/>
      <c r="J86" s="21"/>
      <c r="K86" s="20"/>
      <c r="L86" s="21"/>
    </row>
    <row r="87" spans="1:12" s="1" customFormat="1" ht="14.25" x14ac:dyDescent="0.2">
      <c r="A87" s="5" t="s">
        <v>823</v>
      </c>
      <c r="B87" s="7" t="s">
        <v>351</v>
      </c>
      <c r="C87" s="29">
        <v>-1534222</v>
      </c>
      <c r="D87" s="11">
        <v>-128076.55</v>
      </c>
      <c r="E87" s="9">
        <v>0</v>
      </c>
      <c r="F87" s="11">
        <v>-769648.67</v>
      </c>
      <c r="G87" s="9">
        <v>-764573.33</v>
      </c>
      <c r="H87" s="11">
        <v>50.16</v>
      </c>
      <c r="I87" s="70">
        <v>0</v>
      </c>
      <c r="J87" s="11">
        <f t="shared" ref="J87" si="45">C87+I87</f>
        <v>-1534222</v>
      </c>
      <c r="K87" s="9">
        <f t="shared" ref="K87:L87" si="46">J87*6/100+J87</f>
        <v>-1626275.32</v>
      </c>
      <c r="L87" s="11">
        <f t="shared" si="46"/>
        <v>-1723851.8392</v>
      </c>
    </row>
    <row r="88" spans="1:12" s="1" customFormat="1" ht="14.25" x14ac:dyDescent="0.2">
      <c r="A88" s="5"/>
      <c r="B88" s="7"/>
      <c r="C88" s="29"/>
      <c r="D88" s="11"/>
      <c r="E88" s="9"/>
      <c r="F88" s="11"/>
      <c r="G88" s="9"/>
      <c r="H88" s="11"/>
      <c r="I88" s="70"/>
      <c r="J88" s="11"/>
      <c r="K88" s="9"/>
      <c r="L88" s="11"/>
    </row>
    <row r="89" spans="1:12" s="3" customFormat="1" x14ac:dyDescent="0.25">
      <c r="A89" s="18"/>
      <c r="B89" s="19" t="s">
        <v>352</v>
      </c>
      <c r="C89" s="28">
        <f>SUM(C87:C88)</f>
        <v>-1534222</v>
      </c>
      <c r="D89" s="36">
        <f t="shared" ref="D89:G89" si="47">SUM(D87:D88)</f>
        <v>-128076.55</v>
      </c>
      <c r="E89" s="28">
        <f t="shared" si="47"/>
        <v>0</v>
      </c>
      <c r="F89" s="36">
        <f t="shared" si="47"/>
        <v>-769648.67</v>
      </c>
      <c r="G89" s="28">
        <f t="shared" si="47"/>
        <v>-764573.33</v>
      </c>
      <c r="H89" s="21">
        <v>50.16</v>
      </c>
      <c r="I89" s="71">
        <f t="shared" ref="I89:L89" si="48">SUM(I87:I88)</f>
        <v>0</v>
      </c>
      <c r="J89" s="36">
        <f t="shared" si="48"/>
        <v>-1534222</v>
      </c>
      <c r="K89" s="28">
        <f t="shared" si="48"/>
        <v>-1626275.32</v>
      </c>
      <c r="L89" s="36">
        <f t="shared" si="48"/>
        <v>-1723851.8392</v>
      </c>
    </row>
    <row r="90" spans="1:12" s="3" customFormat="1" x14ac:dyDescent="0.25">
      <c r="A90" s="18"/>
      <c r="B90" s="19"/>
      <c r="C90" s="28"/>
      <c r="D90" s="21"/>
      <c r="E90" s="20"/>
      <c r="F90" s="21"/>
      <c r="G90" s="20"/>
      <c r="H90" s="21"/>
      <c r="I90" s="69"/>
      <c r="J90" s="21"/>
      <c r="K90" s="20"/>
      <c r="L90" s="21"/>
    </row>
    <row r="91" spans="1:12" s="3" customFormat="1" x14ac:dyDescent="0.25">
      <c r="A91" s="18"/>
      <c r="B91" s="19" t="s">
        <v>353</v>
      </c>
      <c r="C91" s="28"/>
      <c r="D91" s="21"/>
      <c r="E91" s="20"/>
      <c r="F91" s="21"/>
      <c r="G91" s="20"/>
      <c r="H91" s="21"/>
      <c r="I91" s="69"/>
      <c r="J91" s="21"/>
      <c r="K91" s="20"/>
      <c r="L91" s="21"/>
    </row>
    <row r="92" spans="1:12" s="3" customFormat="1" x14ac:dyDescent="0.25">
      <c r="A92" s="18"/>
      <c r="B92" s="19"/>
      <c r="C92" s="28"/>
      <c r="D92" s="21"/>
      <c r="E92" s="20"/>
      <c r="F92" s="21"/>
      <c r="G92" s="20"/>
      <c r="H92" s="21"/>
      <c r="I92" s="69"/>
      <c r="J92" s="21"/>
      <c r="K92" s="20"/>
      <c r="L92" s="21"/>
    </row>
    <row r="93" spans="1:12" s="1" customFormat="1" ht="14.25" x14ac:dyDescent="0.2">
      <c r="A93" s="5" t="s">
        <v>824</v>
      </c>
      <c r="B93" s="7" t="s">
        <v>355</v>
      </c>
      <c r="C93" s="29">
        <v>-500000</v>
      </c>
      <c r="D93" s="11">
        <v>0</v>
      </c>
      <c r="E93" s="9">
        <v>0</v>
      </c>
      <c r="F93" s="11">
        <v>0</v>
      </c>
      <c r="G93" s="9">
        <v>-500000</v>
      </c>
      <c r="H93" s="11">
        <v>0</v>
      </c>
      <c r="I93" s="70">
        <v>0</v>
      </c>
      <c r="J93" s="11">
        <f t="shared" ref="J93" si="49">C93+I93</f>
        <v>-500000</v>
      </c>
      <c r="K93" s="9">
        <v>0</v>
      </c>
      <c r="L93" s="11">
        <v>0</v>
      </c>
    </row>
    <row r="94" spans="1:12" s="1" customFormat="1" ht="14.25" x14ac:dyDescent="0.2">
      <c r="A94" s="5" t="s">
        <v>825</v>
      </c>
      <c r="B94" s="7" t="s">
        <v>357</v>
      </c>
      <c r="C94" s="29">
        <v>0</v>
      </c>
      <c r="D94" s="11">
        <v>0</v>
      </c>
      <c r="E94" s="9">
        <v>0</v>
      </c>
      <c r="F94" s="11">
        <v>0</v>
      </c>
      <c r="G94" s="9">
        <v>0</v>
      </c>
      <c r="H94" s="11">
        <v>0</v>
      </c>
      <c r="I94" s="70">
        <v>0</v>
      </c>
      <c r="J94" s="11"/>
      <c r="K94" s="9"/>
      <c r="L94" s="11"/>
    </row>
    <row r="95" spans="1:12" s="1" customFormat="1" ht="14.25" x14ac:dyDescent="0.2">
      <c r="A95" s="5"/>
      <c r="B95" s="7"/>
      <c r="C95" s="29"/>
      <c r="D95" s="11"/>
      <c r="E95" s="9"/>
      <c r="F95" s="11"/>
      <c r="G95" s="9"/>
      <c r="H95" s="11"/>
      <c r="I95" s="70"/>
      <c r="J95" s="11"/>
      <c r="K95" s="9"/>
      <c r="L95" s="11"/>
    </row>
    <row r="96" spans="1:12" s="3" customFormat="1" x14ac:dyDescent="0.25">
      <c r="A96" s="18"/>
      <c r="B96" s="19" t="s">
        <v>360</v>
      </c>
      <c r="C96" s="28">
        <f>SUM(C93:C95)</f>
        <v>-500000</v>
      </c>
      <c r="D96" s="36">
        <f t="shared" ref="D96:G96" si="50">SUM(D93:D95)</f>
        <v>0</v>
      </c>
      <c r="E96" s="28">
        <f t="shared" si="50"/>
        <v>0</v>
      </c>
      <c r="F96" s="36">
        <f t="shared" si="50"/>
        <v>0</v>
      </c>
      <c r="G96" s="28">
        <f t="shared" si="50"/>
        <v>-500000</v>
      </c>
      <c r="H96" s="21">
        <v>0</v>
      </c>
      <c r="I96" s="71">
        <f t="shared" ref="I96:L96" si="51">SUM(I93:I95)</f>
        <v>0</v>
      </c>
      <c r="J96" s="36">
        <f t="shared" si="51"/>
        <v>-500000</v>
      </c>
      <c r="K96" s="28">
        <f t="shared" si="51"/>
        <v>0</v>
      </c>
      <c r="L96" s="36">
        <f t="shared" si="51"/>
        <v>0</v>
      </c>
    </row>
    <row r="97" spans="1:12" s="3" customFormat="1" x14ac:dyDescent="0.25">
      <c r="A97" s="18"/>
      <c r="B97" s="19"/>
      <c r="C97" s="28"/>
      <c r="D97" s="21"/>
      <c r="E97" s="20"/>
      <c r="F97" s="21"/>
      <c r="G97" s="20"/>
      <c r="H97" s="21"/>
      <c r="I97" s="69"/>
      <c r="J97" s="21"/>
      <c r="K97" s="20"/>
      <c r="L97" s="21"/>
    </row>
    <row r="98" spans="1:12" s="3" customFormat="1" x14ac:dyDescent="0.25">
      <c r="A98" s="18"/>
      <c r="B98" s="19" t="s">
        <v>361</v>
      </c>
      <c r="C98" s="28"/>
      <c r="D98" s="21"/>
      <c r="E98" s="20"/>
      <c r="F98" s="21"/>
      <c r="G98" s="20"/>
      <c r="H98" s="21"/>
      <c r="I98" s="69"/>
      <c r="J98" s="21"/>
      <c r="K98" s="20"/>
      <c r="L98" s="21"/>
    </row>
    <row r="99" spans="1:12" s="3" customFormat="1" x14ac:dyDescent="0.25">
      <c r="A99" s="18"/>
      <c r="B99" s="19"/>
      <c r="C99" s="28"/>
      <c r="D99" s="21"/>
      <c r="E99" s="20"/>
      <c r="F99" s="21"/>
      <c r="G99" s="20"/>
      <c r="H99" s="21"/>
      <c r="I99" s="69"/>
      <c r="J99" s="21"/>
      <c r="K99" s="20"/>
      <c r="L99" s="21"/>
    </row>
    <row r="100" spans="1:12" s="1" customFormat="1" ht="14.25" x14ac:dyDescent="0.2">
      <c r="A100" s="5" t="s">
        <v>826</v>
      </c>
      <c r="B100" s="7" t="s">
        <v>365</v>
      </c>
      <c r="C100" s="29">
        <v>-401576</v>
      </c>
      <c r="D100" s="11">
        <v>0</v>
      </c>
      <c r="E100" s="9">
        <v>0</v>
      </c>
      <c r="F100" s="11">
        <v>0</v>
      </c>
      <c r="G100" s="9">
        <v>-401576</v>
      </c>
      <c r="H100" s="11">
        <v>0</v>
      </c>
      <c r="I100" s="70">
        <v>0</v>
      </c>
      <c r="J100" s="11">
        <f t="shared" ref="J100" si="52">C100+I100</f>
        <v>-401576</v>
      </c>
      <c r="K100" s="9">
        <v>0</v>
      </c>
      <c r="L100" s="11">
        <v>0</v>
      </c>
    </row>
    <row r="101" spans="1:12" s="1" customFormat="1" ht="14.25" x14ac:dyDescent="0.2">
      <c r="A101" s="5"/>
      <c r="B101" s="7"/>
      <c r="C101" s="29"/>
      <c r="D101" s="11"/>
      <c r="E101" s="9"/>
      <c r="F101" s="11"/>
      <c r="G101" s="9"/>
      <c r="H101" s="11"/>
      <c r="I101" s="70"/>
      <c r="J101" s="11"/>
      <c r="K101" s="9"/>
      <c r="L101" s="11"/>
    </row>
    <row r="102" spans="1:12" s="3" customFormat="1" x14ac:dyDescent="0.25">
      <c r="A102" s="18"/>
      <c r="B102" s="19" t="s">
        <v>368</v>
      </c>
      <c r="C102" s="28">
        <f>SUM(C100:C101)</f>
        <v>-401576</v>
      </c>
      <c r="D102" s="36">
        <f t="shared" ref="D102:G102" si="53">SUM(D100:D101)</f>
        <v>0</v>
      </c>
      <c r="E102" s="28">
        <f t="shared" si="53"/>
        <v>0</v>
      </c>
      <c r="F102" s="36">
        <f t="shared" si="53"/>
        <v>0</v>
      </c>
      <c r="G102" s="28">
        <f t="shared" si="53"/>
        <v>-401576</v>
      </c>
      <c r="H102" s="21">
        <v>0</v>
      </c>
      <c r="I102" s="71">
        <f t="shared" ref="I102:L102" si="54">SUM(I100:I101)</f>
        <v>0</v>
      </c>
      <c r="J102" s="36">
        <f t="shared" si="54"/>
        <v>-401576</v>
      </c>
      <c r="K102" s="28">
        <f t="shared" si="54"/>
        <v>0</v>
      </c>
      <c r="L102" s="36">
        <f t="shared" si="54"/>
        <v>0</v>
      </c>
    </row>
    <row r="103" spans="1:12" s="3" customFormat="1" x14ac:dyDescent="0.25">
      <c r="A103" s="18"/>
      <c r="B103" s="19"/>
      <c r="C103" s="28"/>
      <c r="D103" s="21"/>
      <c r="E103" s="20"/>
      <c r="F103" s="21"/>
      <c r="G103" s="20"/>
      <c r="H103" s="21"/>
      <c r="I103" s="69"/>
      <c r="J103" s="21"/>
      <c r="K103" s="20"/>
      <c r="L103" s="21"/>
    </row>
    <row r="104" spans="1:12" s="3" customFormat="1" x14ac:dyDescent="0.25">
      <c r="A104" s="18"/>
      <c r="B104" s="19" t="s">
        <v>375</v>
      </c>
      <c r="C104" s="28"/>
      <c r="D104" s="21"/>
      <c r="E104" s="20"/>
      <c r="F104" s="21"/>
      <c r="G104" s="20"/>
      <c r="H104" s="21"/>
      <c r="I104" s="69"/>
      <c r="J104" s="21"/>
      <c r="K104" s="20"/>
      <c r="L104" s="21"/>
    </row>
    <row r="105" spans="1:12" s="3" customFormat="1" x14ac:dyDescent="0.25">
      <c r="A105" s="18"/>
      <c r="B105" s="19"/>
      <c r="C105" s="28"/>
      <c r="D105" s="21"/>
      <c r="E105" s="20"/>
      <c r="F105" s="21"/>
      <c r="G105" s="20"/>
      <c r="H105" s="21"/>
      <c r="I105" s="69"/>
      <c r="J105" s="21"/>
      <c r="K105" s="20"/>
      <c r="L105" s="21"/>
    </row>
    <row r="106" spans="1:12" s="1" customFormat="1" ht="14.25" x14ac:dyDescent="0.2">
      <c r="A106" s="5" t="s">
        <v>827</v>
      </c>
      <c r="B106" s="7" t="s">
        <v>377</v>
      </c>
      <c r="C106" s="29">
        <v>-225978</v>
      </c>
      <c r="D106" s="11">
        <v>-9645.44</v>
      </c>
      <c r="E106" s="9">
        <v>0</v>
      </c>
      <c r="F106" s="11">
        <v>-67246.289999999994</v>
      </c>
      <c r="G106" s="9">
        <v>-158731.71</v>
      </c>
      <c r="H106" s="11">
        <v>29.75</v>
      </c>
      <c r="I106" s="70">
        <v>0</v>
      </c>
      <c r="J106" s="11">
        <f t="shared" ref="J106" si="55">C106+I106</f>
        <v>-225978</v>
      </c>
      <c r="K106" s="9">
        <f t="shared" ref="K106:L106" si="56">J106*6/100+J106</f>
        <v>-239536.68</v>
      </c>
      <c r="L106" s="9">
        <f t="shared" si="56"/>
        <v>-253908.88079999998</v>
      </c>
    </row>
    <row r="107" spans="1:12" s="1" customFormat="1" ht="14.25" x14ac:dyDescent="0.2">
      <c r="A107" s="5"/>
      <c r="B107" s="7"/>
      <c r="C107" s="29"/>
      <c r="D107" s="11"/>
      <c r="E107" s="9"/>
      <c r="F107" s="11"/>
      <c r="G107" s="9"/>
      <c r="H107" s="11"/>
      <c r="I107" s="70"/>
      <c r="J107" s="11"/>
      <c r="K107" s="9"/>
      <c r="L107" s="11"/>
    </row>
    <row r="108" spans="1:12" s="3" customFormat="1" x14ac:dyDescent="0.25">
      <c r="A108" s="18"/>
      <c r="B108" s="19" t="s">
        <v>380</v>
      </c>
      <c r="C108" s="28">
        <f>SUM(C106:C107)</f>
        <v>-225978</v>
      </c>
      <c r="D108" s="36">
        <f t="shared" ref="D108:G108" si="57">SUM(D106:D107)</f>
        <v>-9645.44</v>
      </c>
      <c r="E108" s="28">
        <f t="shared" si="57"/>
        <v>0</v>
      </c>
      <c r="F108" s="36">
        <f t="shared" si="57"/>
        <v>-67246.289999999994</v>
      </c>
      <c r="G108" s="28">
        <f t="shared" si="57"/>
        <v>-158731.71</v>
      </c>
      <c r="H108" s="21">
        <v>29.75</v>
      </c>
      <c r="I108" s="71">
        <f t="shared" ref="I108:L108" si="58">SUM(I106:I107)</f>
        <v>0</v>
      </c>
      <c r="J108" s="36">
        <f t="shared" si="58"/>
        <v>-225978</v>
      </c>
      <c r="K108" s="28">
        <f t="shared" si="58"/>
        <v>-239536.68</v>
      </c>
      <c r="L108" s="36">
        <f t="shared" si="58"/>
        <v>-253908.88079999998</v>
      </c>
    </row>
    <row r="109" spans="1:12" s="1" customFormat="1" ht="14.25" x14ac:dyDescent="0.2">
      <c r="A109" s="5"/>
      <c r="B109" s="7"/>
      <c r="C109" s="29"/>
      <c r="D109" s="11"/>
      <c r="E109" s="9"/>
      <c r="F109" s="11"/>
      <c r="G109" s="9"/>
      <c r="H109" s="11"/>
      <c r="I109" s="70"/>
      <c r="J109" s="11"/>
      <c r="K109" s="9"/>
      <c r="L109" s="11"/>
    </row>
    <row r="110" spans="1:12" s="3" customFormat="1" x14ac:dyDescent="0.25">
      <c r="A110" s="18"/>
      <c r="B110" s="19" t="s">
        <v>381</v>
      </c>
      <c r="C110" s="28"/>
      <c r="D110" s="21"/>
      <c r="E110" s="20"/>
      <c r="F110" s="21"/>
      <c r="G110" s="20"/>
      <c r="H110" s="21"/>
      <c r="I110" s="69"/>
      <c r="J110" s="21"/>
      <c r="K110" s="20"/>
      <c r="L110" s="21"/>
    </row>
    <row r="111" spans="1:12" s="3" customFormat="1" x14ac:dyDescent="0.25">
      <c r="A111" s="18"/>
      <c r="B111" s="19"/>
      <c r="C111" s="28"/>
      <c r="D111" s="21"/>
      <c r="E111" s="20"/>
      <c r="F111" s="21"/>
      <c r="G111" s="20"/>
      <c r="H111" s="21"/>
      <c r="I111" s="69"/>
      <c r="J111" s="21"/>
      <c r="K111" s="20"/>
      <c r="L111" s="21"/>
    </row>
    <row r="112" spans="1:12" s="1" customFormat="1" ht="14.25" x14ac:dyDescent="0.2">
      <c r="A112" s="5" t="s">
        <v>828</v>
      </c>
      <c r="B112" s="7" t="s">
        <v>385</v>
      </c>
      <c r="C112" s="29">
        <v>-1003</v>
      </c>
      <c r="D112" s="11">
        <v>0</v>
      </c>
      <c r="E112" s="9">
        <v>0</v>
      </c>
      <c r="F112" s="11">
        <v>-96.93</v>
      </c>
      <c r="G112" s="9">
        <v>-906.07</v>
      </c>
      <c r="H112" s="11">
        <v>9.66</v>
      </c>
      <c r="I112" s="70">
        <v>803</v>
      </c>
      <c r="J112" s="11">
        <f t="shared" ref="J112:J121" si="59">C112+I112</f>
        <v>-200</v>
      </c>
      <c r="K112" s="9">
        <f t="shared" ref="K112:L112" si="60">J112*6/100+J112</f>
        <v>-212</v>
      </c>
      <c r="L112" s="9">
        <f t="shared" si="60"/>
        <v>-224.72</v>
      </c>
    </row>
    <row r="113" spans="1:12" s="1" customFormat="1" ht="14.25" x14ac:dyDescent="0.2">
      <c r="A113" s="5" t="s">
        <v>829</v>
      </c>
      <c r="B113" s="7" t="s">
        <v>135</v>
      </c>
      <c r="C113" s="29">
        <v>0</v>
      </c>
      <c r="D113" s="11">
        <v>0</v>
      </c>
      <c r="E113" s="9">
        <v>0</v>
      </c>
      <c r="F113" s="11">
        <v>0</v>
      </c>
      <c r="G113" s="9">
        <v>0</v>
      </c>
      <c r="H113" s="11">
        <v>0</v>
      </c>
      <c r="I113" s="70">
        <v>0</v>
      </c>
      <c r="J113" s="11">
        <f t="shared" si="59"/>
        <v>0</v>
      </c>
      <c r="K113" s="9">
        <f t="shared" ref="K113:L113" si="61">J113*6/100+J113</f>
        <v>0</v>
      </c>
      <c r="L113" s="9">
        <f t="shared" si="61"/>
        <v>0</v>
      </c>
    </row>
    <row r="114" spans="1:12" s="1" customFormat="1" ht="14.25" x14ac:dyDescent="0.2">
      <c r="A114" s="5" t="s">
        <v>830</v>
      </c>
      <c r="B114" s="7" t="s">
        <v>393</v>
      </c>
      <c r="C114" s="29">
        <v>-5253</v>
      </c>
      <c r="D114" s="11">
        <v>-1680</v>
      </c>
      <c r="E114" s="9">
        <v>0</v>
      </c>
      <c r="F114" s="11">
        <v>-7688</v>
      </c>
      <c r="G114" s="9">
        <v>2435</v>
      </c>
      <c r="H114" s="11">
        <v>146.35</v>
      </c>
      <c r="I114" s="70">
        <v>-4747</v>
      </c>
      <c r="J114" s="11">
        <f t="shared" si="59"/>
        <v>-10000</v>
      </c>
      <c r="K114" s="9">
        <f t="shared" ref="K114:L114" si="62">J114*6/100+J114</f>
        <v>-10600</v>
      </c>
      <c r="L114" s="9">
        <f t="shared" si="62"/>
        <v>-11236</v>
      </c>
    </row>
    <row r="115" spans="1:12" s="1" customFormat="1" ht="14.25" x14ac:dyDescent="0.2">
      <c r="A115" s="5" t="s">
        <v>831</v>
      </c>
      <c r="B115" s="7" t="s">
        <v>187</v>
      </c>
      <c r="C115" s="29">
        <v>-416</v>
      </c>
      <c r="D115" s="11">
        <v>-18150.5</v>
      </c>
      <c r="E115" s="9">
        <v>0</v>
      </c>
      <c r="F115" s="11">
        <v>-18250.5</v>
      </c>
      <c r="G115" s="9">
        <v>17834.5</v>
      </c>
      <c r="H115" s="11">
        <v>999.99</v>
      </c>
      <c r="I115" s="70">
        <v>-1333.5</v>
      </c>
      <c r="J115" s="11">
        <f t="shared" si="59"/>
        <v>-1749.5</v>
      </c>
      <c r="K115" s="9">
        <f t="shared" ref="K115:L115" si="63">J115*6/100+J115</f>
        <v>-1854.47</v>
      </c>
      <c r="L115" s="9">
        <f t="shared" si="63"/>
        <v>-1965.7382</v>
      </c>
    </row>
    <row r="116" spans="1:12" s="1" customFormat="1" ht="14.25" x14ac:dyDescent="0.2">
      <c r="A116" s="5" t="s">
        <v>832</v>
      </c>
      <c r="B116" s="7" t="s">
        <v>833</v>
      </c>
      <c r="C116" s="29">
        <v>0</v>
      </c>
      <c r="D116" s="11">
        <v>0</v>
      </c>
      <c r="E116" s="9">
        <v>0</v>
      </c>
      <c r="F116" s="11">
        <v>0</v>
      </c>
      <c r="G116" s="9">
        <v>0</v>
      </c>
      <c r="H116" s="11">
        <v>0</v>
      </c>
      <c r="I116" s="70">
        <v>0</v>
      </c>
      <c r="J116" s="11">
        <f t="shared" si="59"/>
        <v>0</v>
      </c>
      <c r="K116" s="9">
        <f t="shared" ref="K116:L116" si="64">J116*6/100+J116</f>
        <v>0</v>
      </c>
      <c r="L116" s="9">
        <f t="shared" si="64"/>
        <v>0</v>
      </c>
    </row>
    <row r="117" spans="1:12" s="1" customFormat="1" ht="14.25" x14ac:dyDescent="0.2">
      <c r="A117" s="5" t="s">
        <v>834</v>
      </c>
      <c r="B117" s="7" t="s">
        <v>397</v>
      </c>
      <c r="C117" s="29">
        <v>-791</v>
      </c>
      <c r="D117" s="11">
        <v>0</v>
      </c>
      <c r="E117" s="9">
        <v>0</v>
      </c>
      <c r="F117" s="11">
        <v>-26.32</v>
      </c>
      <c r="G117" s="9">
        <v>-764.68</v>
      </c>
      <c r="H117" s="11">
        <v>3.32</v>
      </c>
      <c r="I117" s="70">
        <v>600</v>
      </c>
      <c r="J117" s="11">
        <f t="shared" si="59"/>
        <v>-191</v>
      </c>
      <c r="K117" s="9">
        <f t="shared" ref="K117:L117" si="65">J117*6/100+J117</f>
        <v>-202.46</v>
      </c>
      <c r="L117" s="9">
        <f t="shared" si="65"/>
        <v>-214.60760000000002</v>
      </c>
    </row>
    <row r="118" spans="1:12" s="1" customFormat="1" ht="14.25" x14ac:dyDescent="0.2">
      <c r="A118" s="5" t="s">
        <v>835</v>
      </c>
      <c r="B118" s="7" t="s">
        <v>402</v>
      </c>
      <c r="C118" s="29">
        <v>-2209</v>
      </c>
      <c r="D118" s="11">
        <v>0</v>
      </c>
      <c r="E118" s="9">
        <v>0</v>
      </c>
      <c r="F118" s="11">
        <v>0</v>
      </c>
      <c r="G118" s="9">
        <v>-2209</v>
      </c>
      <c r="H118" s="11">
        <v>0</v>
      </c>
      <c r="I118" s="70">
        <v>0</v>
      </c>
      <c r="J118" s="11">
        <f t="shared" si="59"/>
        <v>-2209</v>
      </c>
      <c r="K118" s="9">
        <f t="shared" ref="K118:L118" si="66">J118*6/100+J118</f>
        <v>-2341.54</v>
      </c>
      <c r="L118" s="9">
        <f t="shared" si="66"/>
        <v>-2482.0324000000001</v>
      </c>
    </row>
    <row r="119" spans="1:12" s="1" customFormat="1" ht="14.25" x14ac:dyDescent="0.2">
      <c r="A119" s="5" t="s">
        <v>836</v>
      </c>
      <c r="B119" s="7" t="s">
        <v>411</v>
      </c>
      <c r="C119" s="29">
        <v>0</v>
      </c>
      <c r="D119" s="11">
        <v>0</v>
      </c>
      <c r="E119" s="9">
        <v>0</v>
      </c>
      <c r="F119" s="11">
        <v>0</v>
      </c>
      <c r="G119" s="9">
        <v>0</v>
      </c>
      <c r="H119" s="11">
        <v>0</v>
      </c>
      <c r="I119" s="70">
        <v>0</v>
      </c>
      <c r="J119" s="11">
        <f t="shared" si="59"/>
        <v>0</v>
      </c>
      <c r="K119" s="9">
        <f t="shared" ref="K119:L119" si="67">J119*6/100+J119</f>
        <v>0</v>
      </c>
      <c r="L119" s="9">
        <f t="shared" si="67"/>
        <v>0</v>
      </c>
    </row>
    <row r="120" spans="1:12" s="1" customFormat="1" ht="14.25" x14ac:dyDescent="0.2">
      <c r="A120" s="5" t="s">
        <v>837</v>
      </c>
      <c r="B120" s="7" t="s">
        <v>418</v>
      </c>
      <c r="C120" s="29">
        <v>-954154</v>
      </c>
      <c r="D120" s="11">
        <v>-100</v>
      </c>
      <c r="E120" s="9">
        <v>0</v>
      </c>
      <c r="F120" s="11">
        <v>-285650</v>
      </c>
      <c r="G120" s="9">
        <v>-668504</v>
      </c>
      <c r="H120" s="11">
        <v>29.93</v>
      </c>
      <c r="I120" s="70">
        <v>0</v>
      </c>
      <c r="J120" s="11">
        <f t="shared" si="59"/>
        <v>-954154</v>
      </c>
      <c r="K120" s="9">
        <f t="shared" ref="K120:L120" si="68">J120*6/100+J120</f>
        <v>-1011403.24</v>
      </c>
      <c r="L120" s="9">
        <f t="shared" si="68"/>
        <v>-1072087.4343999999</v>
      </c>
    </row>
    <row r="121" spans="1:12" s="1" customFormat="1" ht="14.25" x14ac:dyDescent="0.2">
      <c r="A121" s="5" t="s">
        <v>838</v>
      </c>
      <c r="B121" s="7" t="s">
        <v>839</v>
      </c>
      <c r="C121" s="29">
        <v>-7602114</v>
      </c>
      <c r="D121" s="11">
        <v>-433898.2</v>
      </c>
      <c r="E121" s="9">
        <v>0</v>
      </c>
      <c r="F121" s="11">
        <v>-2075282.45</v>
      </c>
      <c r="G121" s="9">
        <v>-5526831.5499999998</v>
      </c>
      <c r="H121" s="11">
        <v>27.29</v>
      </c>
      <c r="I121" s="70">
        <v>2000000</v>
      </c>
      <c r="J121" s="11">
        <f t="shared" si="59"/>
        <v>-5602114</v>
      </c>
      <c r="K121" s="9">
        <f t="shared" ref="K121:L121" si="69">J121*6/100+J121</f>
        <v>-5938240.8399999999</v>
      </c>
      <c r="L121" s="9">
        <f t="shared" si="69"/>
        <v>-6294535.2904000003</v>
      </c>
    </row>
    <row r="122" spans="1:12" s="1" customFormat="1" ht="14.25" x14ac:dyDescent="0.2">
      <c r="A122" s="5" t="s">
        <v>840</v>
      </c>
      <c r="B122" s="7" t="s">
        <v>425</v>
      </c>
      <c r="C122" s="29">
        <v>0</v>
      </c>
      <c r="D122" s="11">
        <v>0</v>
      </c>
      <c r="E122" s="9">
        <v>0</v>
      </c>
      <c r="F122" s="11">
        <v>0</v>
      </c>
      <c r="G122" s="9">
        <v>0</v>
      </c>
      <c r="H122" s="11">
        <v>0</v>
      </c>
      <c r="I122" s="70">
        <v>0</v>
      </c>
      <c r="J122" s="11"/>
      <c r="K122" s="9"/>
      <c r="L122" s="11"/>
    </row>
    <row r="123" spans="1:12" s="1" customFormat="1" ht="14.25" x14ac:dyDescent="0.2">
      <c r="A123" s="5"/>
      <c r="B123" s="7"/>
      <c r="C123" s="29"/>
      <c r="D123" s="11"/>
      <c r="E123" s="9"/>
      <c r="F123" s="11"/>
      <c r="G123" s="9"/>
      <c r="H123" s="11"/>
      <c r="I123" s="70"/>
      <c r="J123" s="11"/>
      <c r="K123" s="9"/>
      <c r="L123" s="11"/>
    </row>
    <row r="124" spans="1:12" s="3" customFormat="1" x14ac:dyDescent="0.25">
      <c r="A124" s="18"/>
      <c r="B124" s="19" t="s">
        <v>426</v>
      </c>
      <c r="C124" s="28">
        <f>SUM(C112:C123)</f>
        <v>-8565940</v>
      </c>
      <c r="D124" s="36">
        <f t="shared" ref="D124:G124" si="70">SUM(D112:D123)</f>
        <v>-453828.7</v>
      </c>
      <c r="E124" s="28">
        <f t="shared" si="70"/>
        <v>0</v>
      </c>
      <c r="F124" s="36">
        <f t="shared" si="70"/>
        <v>-2386994.2000000002</v>
      </c>
      <c r="G124" s="28">
        <f t="shared" si="70"/>
        <v>-6178945.7999999998</v>
      </c>
      <c r="H124" s="21">
        <v>27.86</v>
      </c>
      <c r="I124" s="71">
        <f t="shared" ref="I124:L124" si="71">SUM(I112:I123)</f>
        <v>1995322.5</v>
      </c>
      <c r="J124" s="36">
        <f t="shared" si="71"/>
        <v>-6570617.5</v>
      </c>
      <c r="K124" s="28">
        <f t="shared" si="71"/>
        <v>-6964854.5499999998</v>
      </c>
      <c r="L124" s="36">
        <f t="shared" si="71"/>
        <v>-7382745.8229999999</v>
      </c>
    </row>
    <row r="125" spans="1:12" s="3" customFormat="1" x14ac:dyDescent="0.25">
      <c r="A125" s="18"/>
      <c r="B125" s="19"/>
      <c r="C125" s="28"/>
      <c r="D125" s="21"/>
      <c r="E125" s="20"/>
      <c r="F125" s="21"/>
      <c r="G125" s="20"/>
      <c r="H125" s="21"/>
      <c r="I125" s="69"/>
      <c r="J125" s="21"/>
      <c r="K125" s="20"/>
      <c r="L125" s="21"/>
    </row>
    <row r="126" spans="1:12" s="3" customFormat="1" x14ac:dyDescent="0.25">
      <c r="A126" s="18"/>
      <c r="B126" s="19" t="s">
        <v>427</v>
      </c>
      <c r="C126" s="28">
        <f>C89+C96+C102+C108+C124</f>
        <v>-11227716</v>
      </c>
      <c r="D126" s="36">
        <f t="shared" ref="D126:L126" si="72">D89+D96+D102+D108+D124</f>
        <v>-591550.68999999994</v>
      </c>
      <c r="E126" s="28">
        <f t="shared" si="72"/>
        <v>0</v>
      </c>
      <c r="F126" s="36">
        <f t="shared" si="72"/>
        <v>-3223889.16</v>
      </c>
      <c r="G126" s="28">
        <f t="shared" si="72"/>
        <v>-8003826.8399999999</v>
      </c>
      <c r="H126" s="21">
        <v>28.71</v>
      </c>
      <c r="I126" s="71">
        <f t="shared" si="72"/>
        <v>1995322.5</v>
      </c>
      <c r="J126" s="36">
        <f t="shared" si="72"/>
        <v>-9232393.5</v>
      </c>
      <c r="K126" s="28">
        <f t="shared" si="72"/>
        <v>-8830666.5500000007</v>
      </c>
      <c r="L126" s="36">
        <f t="shared" si="72"/>
        <v>-9360506.5429999996</v>
      </c>
    </row>
    <row r="127" spans="1:12" s="1" customFormat="1" ht="14.25" x14ac:dyDescent="0.2">
      <c r="A127" s="5"/>
      <c r="B127" s="7"/>
      <c r="C127" s="29"/>
      <c r="D127" s="11"/>
      <c r="E127" s="9"/>
      <c r="F127" s="11"/>
      <c r="G127" s="9"/>
      <c r="H127" s="11"/>
      <c r="I127" s="70"/>
      <c r="J127" s="11"/>
      <c r="K127" s="9"/>
      <c r="L127" s="11"/>
    </row>
    <row r="128" spans="1:12" s="3" customFormat="1" x14ac:dyDescent="0.25">
      <c r="A128" s="18"/>
      <c r="B128" s="19" t="s">
        <v>428</v>
      </c>
      <c r="C128" s="28">
        <f>C126</f>
        <v>-11227716</v>
      </c>
      <c r="D128" s="36">
        <f t="shared" ref="D128:L128" si="73">D126</f>
        <v>-591550.68999999994</v>
      </c>
      <c r="E128" s="28">
        <f t="shared" si="73"/>
        <v>0</v>
      </c>
      <c r="F128" s="36">
        <f t="shared" si="73"/>
        <v>-3223889.16</v>
      </c>
      <c r="G128" s="28">
        <f t="shared" si="73"/>
        <v>-8003826.8399999999</v>
      </c>
      <c r="H128" s="21">
        <v>28.71</v>
      </c>
      <c r="I128" s="71">
        <f t="shared" si="73"/>
        <v>1995322.5</v>
      </c>
      <c r="J128" s="36">
        <f t="shared" si="73"/>
        <v>-9232393.5</v>
      </c>
      <c r="K128" s="28">
        <f t="shared" si="73"/>
        <v>-8830666.5500000007</v>
      </c>
      <c r="L128" s="36">
        <f t="shared" si="73"/>
        <v>-9360506.5429999996</v>
      </c>
    </row>
    <row r="129" spans="1:12" s="1" customFormat="1" ht="14.25" x14ac:dyDescent="0.2">
      <c r="A129" s="5"/>
      <c r="B129" s="7"/>
      <c r="C129" s="29"/>
      <c r="D129" s="11"/>
      <c r="E129" s="9"/>
      <c r="F129" s="11"/>
      <c r="G129" s="9"/>
      <c r="H129" s="11"/>
      <c r="I129" s="70"/>
      <c r="J129" s="11"/>
      <c r="K129" s="9"/>
      <c r="L129" s="11"/>
    </row>
    <row r="130" spans="1:12" s="3" customFormat="1" x14ac:dyDescent="0.25">
      <c r="A130" s="18"/>
      <c r="B130" s="19" t="s">
        <v>429</v>
      </c>
      <c r="C130" s="28">
        <f>C128</f>
        <v>-11227716</v>
      </c>
      <c r="D130" s="36">
        <f t="shared" ref="D130:L130" si="74">D128</f>
        <v>-591550.68999999994</v>
      </c>
      <c r="E130" s="28">
        <f t="shared" si="74"/>
        <v>0</v>
      </c>
      <c r="F130" s="36">
        <f t="shared" si="74"/>
        <v>-3223889.16</v>
      </c>
      <c r="G130" s="28">
        <f t="shared" si="74"/>
        <v>-8003826.8399999999</v>
      </c>
      <c r="H130" s="21">
        <v>28.71</v>
      </c>
      <c r="I130" s="71">
        <f t="shared" si="74"/>
        <v>1995322.5</v>
      </c>
      <c r="J130" s="36">
        <f t="shared" si="74"/>
        <v>-9232393.5</v>
      </c>
      <c r="K130" s="28">
        <f t="shared" si="74"/>
        <v>-8830666.5500000007</v>
      </c>
      <c r="L130" s="36">
        <f t="shared" si="74"/>
        <v>-9360506.5429999996</v>
      </c>
    </row>
    <row r="131" spans="1:12" s="3" customFormat="1" x14ac:dyDescent="0.25">
      <c r="A131" s="18"/>
      <c r="B131" s="19"/>
      <c r="C131" s="28"/>
      <c r="D131" s="21"/>
      <c r="E131" s="20"/>
      <c r="F131" s="21"/>
      <c r="G131" s="20"/>
      <c r="H131" s="21"/>
      <c r="I131" s="69"/>
      <c r="J131" s="21"/>
      <c r="K131" s="20"/>
      <c r="L131" s="21"/>
    </row>
    <row r="132" spans="1:12" s="3" customFormat="1" x14ac:dyDescent="0.25">
      <c r="A132" s="18"/>
      <c r="B132" s="19" t="s">
        <v>430</v>
      </c>
      <c r="C132" s="28"/>
      <c r="D132" s="21"/>
      <c r="E132" s="20"/>
      <c r="F132" s="21"/>
      <c r="G132" s="20"/>
      <c r="H132" s="21"/>
      <c r="I132" s="69"/>
      <c r="J132" s="21"/>
      <c r="K132" s="20"/>
      <c r="L132" s="21"/>
    </row>
    <row r="133" spans="1:12" s="3" customFormat="1" x14ac:dyDescent="0.25">
      <c r="A133" s="18"/>
      <c r="B133" s="19"/>
      <c r="C133" s="28"/>
      <c r="D133" s="21"/>
      <c r="E133" s="20"/>
      <c r="F133" s="21"/>
      <c r="G133" s="20"/>
      <c r="H133" s="21"/>
      <c r="I133" s="69"/>
      <c r="J133" s="21"/>
      <c r="K133" s="20"/>
      <c r="L133" s="21"/>
    </row>
    <row r="134" spans="1:12" s="3" customFormat="1" x14ac:dyDescent="0.25">
      <c r="A134" s="18"/>
      <c r="B134" s="19" t="s">
        <v>431</v>
      </c>
      <c r="C134" s="28"/>
      <c r="D134" s="21"/>
      <c r="E134" s="20"/>
      <c r="F134" s="21"/>
      <c r="G134" s="20"/>
      <c r="H134" s="21"/>
      <c r="I134" s="69"/>
      <c r="J134" s="21"/>
      <c r="K134" s="20"/>
      <c r="L134" s="21"/>
    </row>
    <row r="135" spans="1:12" s="3" customFormat="1" x14ac:dyDescent="0.25">
      <c r="A135" s="18"/>
      <c r="B135" s="19"/>
      <c r="C135" s="28"/>
      <c r="D135" s="21"/>
      <c r="E135" s="20"/>
      <c r="F135" s="21"/>
      <c r="G135" s="20"/>
      <c r="H135" s="21"/>
      <c r="I135" s="69"/>
      <c r="J135" s="21"/>
      <c r="K135" s="20"/>
      <c r="L135" s="21"/>
    </row>
    <row r="136" spans="1:12" s="1" customFormat="1" ht="14.25" x14ac:dyDescent="0.2">
      <c r="A136" s="5" t="s">
        <v>841</v>
      </c>
      <c r="B136" s="7" t="s">
        <v>433</v>
      </c>
      <c r="C136" s="29">
        <f>C81</f>
        <v>17375457</v>
      </c>
      <c r="D136" s="37">
        <f t="shared" ref="D136:G136" si="75">D81</f>
        <v>1326698.3400000001</v>
      </c>
      <c r="E136" s="29">
        <f t="shared" si="75"/>
        <v>62033.86</v>
      </c>
      <c r="F136" s="37">
        <f t="shared" si="75"/>
        <v>8269700.6900000004</v>
      </c>
      <c r="G136" s="29">
        <f t="shared" si="75"/>
        <v>9043722.4499999993</v>
      </c>
      <c r="H136" s="11">
        <v>47.59</v>
      </c>
      <c r="I136" s="70">
        <f>I81</f>
        <v>172357.90000000002</v>
      </c>
      <c r="J136" s="11">
        <f t="shared" ref="J136:J137" si="76">C136+I136</f>
        <v>17547814.899999999</v>
      </c>
      <c r="K136" s="9"/>
      <c r="L136" s="11"/>
    </row>
    <row r="137" spans="1:12" s="1" customFormat="1" ht="14.25" x14ac:dyDescent="0.2">
      <c r="A137" s="5" t="s">
        <v>842</v>
      </c>
      <c r="B137" s="7" t="s">
        <v>429</v>
      </c>
      <c r="C137" s="29">
        <f>C130</f>
        <v>-11227716</v>
      </c>
      <c r="D137" s="37">
        <f t="shared" ref="D137:G137" si="77">D130</f>
        <v>-591550.68999999994</v>
      </c>
      <c r="E137" s="29">
        <f t="shared" si="77"/>
        <v>0</v>
      </c>
      <c r="F137" s="37">
        <f t="shared" si="77"/>
        <v>-3223889.16</v>
      </c>
      <c r="G137" s="29">
        <f t="shared" si="77"/>
        <v>-8003826.8399999999</v>
      </c>
      <c r="H137" s="11">
        <v>28.71</v>
      </c>
      <c r="I137" s="70">
        <f>I130</f>
        <v>1995322.5</v>
      </c>
      <c r="J137" s="11">
        <f t="shared" si="76"/>
        <v>-9232393.5</v>
      </c>
      <c r="K137" s="9"/>
      <c r="L137" s="11"/>
    </row>
    <row r="138" spans="1:12" s="1" customFormat="1" ht="14.25" x14ac:dyDescent="0.2">
      <c r="A138" s="5"/>
      <c r="B138" s="7"/>
      <c r="C138" s="29"/>
      <c r="D138" s="11"/>
      <c r="E138" s="9"/>
      <c r="F138" s="11"/>
      <c r="G138" s="9"/>
      <c r="H138" s="11"/>
      <c r="I138" s="70"/>
      <c r="J138" s="11"/>
      <c r="K138" s="9"/>
      <c r="L138" s="11"/>
    </row>
    <row r="139" spans="1:12" s="3" customFormat="1" x14ac:dyDescent="0.25">
      <c r="A139" s="18"/>
      <c r="B139" s="19" t="s">
        <v>435</v>
      </c>
      <c r="C139" s="28">
        <f>C136+C137</f>
        <v>6147741</v>
      </c>
      <c r="D139" s="36">
        <f t="shared" ref="D139:L139" si="78">D136+D137</f>
        <v>735147.65000000014</v>
      </c>
      <c r="E139" s="28">
        <f t="shared" si="78"/>
        <v>62033.86</v>
      </c>
      <c r="F139" s="36">
        <f t="shared" si="78"/>
        <v>5045811.53</v>
      </c>
      <c r="G139" s="28">
        <f t="shared" si="78"/>
        <v>1039895.6099999994</v>
      </c>
      <c r="H139" s="21">
        <v>82.07</v>
      </c>
      <c r="I139" s="71">
        <f>I136+I137</f>
        <v>2167680.4</v>
      </c>
      <c r="J139" s="36">
        <f t="shared" si="78"/>
        <v>8315421.3999999985</v>
      </c>
      <c r="K139" s="28">
        <f t="shared" si="78"/>
        <v>0</v>
      </c>
      <c r="L139" s="36">
        <f t="shared" si="78"/>
        <v>0</v>
      </c>
    </row>
    <row r="140" spans="1:12" s="1" customFormat="1" ht="14.25" x14ac:dyDescent="0.2">
      <c r="A140" s="5"/>
      <c r="B140" s="7"/>
      <c r="C140" s="29"/>
      <c r="D140" s="11"/>
      <c r="E140" s="9"/>
      <c r="F140" s="11"/>
      <c r="G140" s="9"/>
      <c r="H140" s="11"/>
      <c r="I140" s="70"/>
      <c r="J140" s="11"/>
      <c r="K140" s="9"/>
      <c r="L140" s="11"/>
    </row>
    <row r="141" spans="1:12" s="3" customFormat="1" x14ac:dyDescent="0.25">
      <c r="A141" s="18"/>
      <c r="B141" s="19" t="s">
        <v>436</v>
      </c>
      <c r="C141" s="28">
        <f>C139</f>
        <v>6147741</v>
      </c>
      <c r="D141" s="36">
        <f t="shared" ref="D141:G141" si="79">D139</f>
        <v>735147.65000000014</v>
      </c>
      <c r="E141" s="28">
        <f t="shared" si="79"/>
        <v>62033.86</v>
      </c>
      <c r="F141" s="36">
        <f t="shared" si="79"/>
        <v>5045811.53</v>
      </c>
      <c r="G141" s="28">
        <f t="shared" si="79"/>
        <v>1039895.6099999994</v>
      </c>
      <c r="H141" s="21">
        <v>82.07</v>
      </c>
      <c r="I141" s="71">
        <f t="shared" ref="I141:L141" si="80">I139</f>
        <v>2167680.4</v>
      </c>
      <c r="J141" s="36">
        <f t="shared" si="80"/>
        <v>8315421.3999999985</v>
      </c>
      <c r="K141" s="28">
        <f t="shared" si="80"/>
        <v>0</v>
      </c>
      <c r="L141" s="36">
        <f t="shared" si="80"/>
        <v>0</v>
      </c>
    </row>
    <row r="142" spans="1:12" s="1" customFormat="1" ht="14.25" x14ac:dyDescent="0.2">
      <c r="A142" s="5"/>
      <c r="B142" s="7"/>
      <c r="C142" s="29"/>
      <c r="D142" s="11"/>
      <c r="E142" s="9"/>
      <c r="F142" s="11"/>
      <c r="G142" s="9"/>
      <c r="H142" s="11"/>
      <c r="I142" s="70"/>
      <c r="J142" s="11"/>
      <c r="K142" s="9"/>
      <c r="L142" s="11"/>
    </row>
    <row r="143" spans="1:12" s="3" customFormat="1" x14ac:dyDescent="0.25">
      <c r="A143" s="18"/>
      <c r="B143" s="19" t="s">
        <v>437</v>
      </c>
      <c r="C143" s="28"/>
      <c r="D143" s="21"/>
      <c r="E143" s="20"/>
      <c r="F143" s="21"/>
      <c r="G143" s="20"/>
      <c r="H143" s="21"/>
      <c r="I143" s="69"/>
      <c r="J143" s="21"/>
      <c r="K143" s="20"/>
      <c r="L143" s="21"/>
    </row>
    <row r="144" spans="1:12" s="1" customFormat="1" ht="14.25" x14ac:dyDescent="0.2">
      <c r="A144" s="5"/>
      <c r="B144" s="7"/>
      <c r="C144" s="29"/>
      <c r="D144" s="11"/>
      <c r="E144" s="9"/>
      <c r="F144" s="11"/>
      <c r="G144" s="9"/>
      <c r="H144" s="11"/>
      <c r="I144" s="70"/>
      <c r="J144" s="11"/>
      <c r="K144" s="9"/>
      <c r="L144" s="11"/>
    </row>
    <row r="145" spans="1:13" s="258" customFormat="1" ht="14.25" x14ac:dyDescent="0.2">
      <c r="A145" s="253" t="s">
        <v>843</v>
      </c>
      <c r="B145" s="254" t="s">
        <v>632</v>
      </c>
      <c r="C145" s="255">
        <v>0</v>
      </c>
      <c r="D145" s="256">
        <v>0</v>
      </c>
      <c r="E145" s="257">
        <v>0</v>
      </c>
      <c r="F145" s="256">
        <v>0</v>
      </c>
      <c r="G145" s="257">
        <v>0</v>
      </c>
      <c r="H145" s="256">
        <v>0</v>
      </c>
      <c r="I145" s="32">
        <v>0</v>
      </c>
      <c r="J145" s="256"/>
      <c r="K145" s="257"/>
      <c r="L145" s="256"/>
    </row>
    <row r="146" spans="1:13" s="115" customFormat="1" ht="14.25" x14ac:dyDescent="0.2">
      <c r="A146" s="110" t="s">
        <v>1045</v>
      </c>
      <c r="B146" s="111" t="s">
        <v>1046</v>
      </c>
      <c r="C146" s="112">
        <v>0</v>
      </c>
      <c r="D146" s="113"/>
      <c r="E146" s="112"/>
      <c r="F146" s="113">
        <v>0</v>
      </c>
      <c r="G146" s="112"/>
      <c r="H146" s="113">
        <v>0</v>
      </c>
      <c r="I146" s="112">
        <v>0</v>
      </c>
      <c r="J146" s="113">
        <v>0</v>
      </c>
      <c r="K146" s="114">
        <f>'[2]ALL DEPARTMENTS'!$I$1136</f>
        <v>700000</v>
      </c>
      <c r="L146" s="114">
        <f>'[2]ALL DEPARTMENTS'!$J$1136</f>
        <v>800000</v>
      </c>
      <c r="M146" s="114"/>
    </row>
    <row r="147" spans="1:13" s="115" customFormat="1" ht="14.25" x14ac:dyDescent="0.2">
      <c r="A147" s="110"/>
      <c r="B147" s="111" t="s">
        <v>1048</v>
      </c>
      <c r="C147" s="112">
        <v>0</v>
      </c>
      <c r="D147" s="113"/>
      <c r="E147" s="112"/>
      <c r="F147" s="113"/>
      <c r="G147" s="112"/>
      <c r="H147" s="113">
        <v>0</v>
      </c>
      <c r="I147" s="112">
        <v>0</v>
      </c>
      <c r="J147" s="113">
        <v>0</v>
      </c>
      <c r="K147" s="113">
        <v>0</v>
      </c>
      <c r="L147" s="113">
        <f>'[2]ALL DEPARTMENTS'!$J$1141</f>
        <v>700000</v>
      </c>
      <c r="M147" s="114"/>
    </row>
    <row r="148" spans="1:13" s="115" customFormat="1" ht="14.25" x14ac:dyDescent="0.2">
      <c r="A148" s="110"/>
      <c r="B148" s="111" t="s">
        <v>1083</v>
      </c>
      <c r="C148" s="112"/>
      <c r="D148" s="113"/>
      <c r="E148" s="112"/>
      <c r="F148" s="113"/>
      <c r="G148" s="112"/>
      <c r="H148" s="113"/>
      <c r="I148" s="112">
        <v>0</v>
      </c>
      <c r="J148" s="113">
        <v>0</v>
      </c>
      <c r="K148" s="112">
        <f>'[3]Community services'!$I$146</f>
        <v>500000</v>
      </c>
      <c r="L148" s="112">
        <v>0</v>
      </c>
      <c r="M148" s="114"/>
    </row>
    <row r="149" spans="1:13" s="115" customFormat="1" ht="14.25" x14ac:dyDescent="0.2">
      <c r="A149" s="110"/>
      <c r="B149" s="111" t="s">
        <v>1084</v>
      </c>
      <c r="C149" s="112"/>
      <c r="D149" s="113"/>
      <c r="E149" s="112"/>
      <c r="F149" s="113"/>
      <c r="G149" s="112"/>
      <c r="H149" s="113"/>
      <c r="I149" s="112">
        <v>0</v>
      </c>
      <c r="J149" s="113">
        <v>0</v>
      </c>
      <c r="K149" s="112">
        <f>'[3]Community services'!$I$149</f>
        <v>300000</v>
      </c>
      <c r="L149" s="113">
        <v>0</v>
      </c>
      <c r="M149" s="114"/>
    </row>
    <row r="150" spans="1:13" s="115" customFormat="1" ht="14.25" x14ac:dyDescent="0.2">
      <c r="A150" s="110"/>
      <c r="B150" s="111" t="s">
        <v>1085</v>
      </c>
      <c r="C150" s="112"/>
      <c r="D150" s="113"/>
      <c r="E150" s="112"/>
      <c r="F150" s="113"/>
      <c r="G150" s="112"/>
      <c r="H150" s="113"/>
      <c r="I150" s="112"/>
      <c r="J150" s="113"/>
      <c r="K150" s="112">
        <f>'[3]Community services'!$I$150</f>
        <v>120000</v>
      </c>
      <c r="L150" s="113">
        <v>0</v>
      </c>
      <c r="M150" s="114"/>
    </row>
    <row r="151" spans="1:13" s="1" customFormat="1" ht="14.25" x14ac:dyDescent="0.2">
      <c r="A151" s="5" t="s">
        <v>844</v>
      </c>
      <c r="B151" s="7" t="s">
        <v>443</v>
      </c>
      <c r="C151" s="29">
        <v>198424</v>
      </c>
      <c r="D151" s="11">
        <v>0</v>
      </c>
      <c r="E151" s="9">
        <v>0</v>
      </c>
      <c r="F151" s="11">
        <v>0</v>
      </c>
      <c r="G151" s="9">
        <v>198424</v>
      </c>
      <c r="H151" s="11">
        <v>0</v>
      </c>
      <c r="I151" s="70">
        <v>0</v>
      </c>
      <c r="J151" s="11">
        <f t="shared" ref="J151:J153" si="81">C151+I151</f>
        <v>198424</v>
      </c>
      <c r="K151" s="9"/>
      <c r="L151" s="11"/>
    </row>
    <row r="152" spans="1:13" s="1" customFormat="1" ht="14.25" x14ac:dyDescent="0.2">
      <c r="A152" s="5" t="s">
        <v>845</v>
      </c>
      <c r="B152" s="7" t="s">
        <v>458</v>
      </c>
      <c r="C152" s="29">
        <v>100000</v>
      </c>
      <c r="D152" s="11">
        <v>0</v>
      </c>
      <c r="E152" s="9">
        <v>87600</v>
      </c>
      <c r="F152" s="11">
        <v>0</v>
      </c>
      <c r="G152" s="9">
        <v>100000</v>
      </c>
      <c r="H152" s="11">
        <v>0</v>
      </c>
      <c r="I152" s="70">
        <v>0</v>
      </c>
      <c r="J152" s="11">
        <f t="shared" si="81"/>
        <v>100000</v>
      </c>
      <c r="K152" s="9"/>
      <c r="L152" s="11"/>
    </row>
    <row r="153" spans="1:13" s="1" customFormat="1" ht="14.25" x14ac:dyDescent="0.2">
      <c r="A153" s="5" t="s">
        <v>846</v>
      </c>
      <c r="B153" s="7" t="s">
        <v>460</v>
      </c>
      <c r="C153" s="29">
        <v>500000</v>
      </c>
      <c r="D153" s="11">
        <v>0</v>
      </c>
      <c r="E153" s="9">
        <v>0</v>
      </c>
      <c r="F153" s="11">
        <v>0</v>
      </c>
      <c r="G153" s="9">
        <v>500000</v>
      </c>
      <c r="H153" s="11">
        <v>0</v>
      </c>
      <c r="I153" s="70">
        <v>0</v>
      </c>
      <c r="J153" s="11">
        <f t="shared" si="81"/>
        <v>500000</v>
      </c>
      <c r="K153" s="9"/>
      <c r="L153" s="11"/>
    </row>
    <row r="154" spans="1:13" s="1" customFormat="1" ht="14.25" x14ac:dyDescent="0.2">
      <c r="A154" s="5"/>
      <c r="B154" s="7"/>
      <c r="C154" s="29"/>
      <c r="D154" s="11"/>
      <c r="E154" s="9"/>
      <c r="F154" s="11"/>
      <c r="G154" s="9"/>
      <c r="H154" s="11"/>
      <c r="I154" s="70"/>
      <c r="J154" s="11"/>
      <c r="K154" s="9"/>
      <c r="L154" s="11"/>
    </row>
    <row r="155" spans="1:13" s="3" customFormat="1" x14ac:dyDescent="0.25">
      <c r="A155" s="18"/>
      <c r="B155" s="19" t="s">
        <v>471</v>
      </c>
      <c r="C155" s="28">
        <f>SUM(C145:C154)</f>
        <v>798424</v>
      </c>
      <c r="D155" s="36">
        <f t="shared" ref="D155:G155" si="82">SUM(D145:D154)</f>
        <v>0</v>
      </c>
      <c r="E155" s="28">
        <f t="shared" si="82"/>
        <v>87600</v>
      </c>
      <c r="F155" s="36">
        <f t="shared" si="82"/>
        <v>0</v>
      </c>
      <c r="G155" s="28">
        <f t="shared" si="82"/>
        <v>798424</v>
      </c>
      <c r="H155" s="21">
        <v>0</v>
      </c>
      <c r="I155" s="71">
        <f t="shared" ref="I155:L155" si="83">SUM(I145:I154)</f>
        <v>0</v>
      </c>
      <c r="J155" s="36">
        <f t="shared" si="83"/>
        <v>798424</v>
      </c>
      <c r="K155" s="28">
        <f t="shared" si="83"/>
        <v>1620000</v>
      </c>
      <c r="L155" s="36">
        <f t="shared" si="83"/>
        <v>1500000</v>
      </c>
    </row>
    <row r="156" spans="1:13" s="1" customFormat="1" ht="14.25" x14ac:dyDescent="0.2">
      <c r="A156" s="5"/>
      <c r="B156" s="7"/>
      <c r="C156" s="29"/>
      <c r="D156" s="11"/>
      <c r="E156" s="9"/>
      <c r="F156" s="11"/>
      <c r="G156" s="9"/>
      <c r="H156" s="11"/>
      <c r="I156" s="70"/>
      <c r="J156" s="11"/>
      <c r="K156" s="9"/>
      <c r="L156" s="11"/>
    </row>
    <row r="157" spans="1:13" s="3" customFormat="1" x14ac:dyDescent="0.25">
      <c r="A157" s="18"/>
      <c r="B157" s="19" t="s">
        <v>472</v>
      </c>
      <c r="C157" s="28">
        <f>C155</f>
        <v>798424</v>
      </c>
      <c r="D157" s="36">
        <f t="shared" ref="D157:G157" si="84">D155</f>
        <v>0</v>
      </c>
      <c r="E157" s="28">
        <f t="shared" si="84"/>
        <v>87600</v>
      </c>
      <c r="F157" s="36">
        <f t="shared" si="84"/>
        <v>0</v>
      </c>
      <c r="G157" s="28">
        <f t="shared" si="84"/>
        <v>798424</v>
      </c>
      <c r="H157" s="21">
        <v>0</v>
      </c>
      <c r="I157" s="71">
        <f t="shared" ref="I157:L157" si="85">I155</f>
        <v>0</v>
      </c>
      <c r="J157" s="36">
        <f t="shared" si="85"/>
        <v>798424</v>
      </c>
      <c r="K157" s="28">
        <f t="shared" si="85"/>
        <v>1620000</v>
      </c>
      <c r="L157" s="36">
        <f t="shared" si="85"/>
        <v>1500000</v>
      </c>
    </row>
    <row r="158" spans="1:13" s="3" customFormat="1" x14ac:dyDescent="0.25">
      <c r="A158" s="18"/>
      <c r="B158" s="19"/>
      <c r="C158" s="28"/>
      <c r="D158" s="21"/>
      <c r="E158" s="20"/>
      <c r="F158" s="21"/>
      <c r="G158" s="20"/>
      <c r="H158" s="21"/>
      <c r="I158" s="69"/>
      <c r="J158" s="21"/>
      <c r="K158" s="20"/>
      <c r="L158" s="21"/>
    </row>
    <row r="159" spans="1:13" s="3" customFormat="1" x14ac:dyDescent="0.25">
      <c r="A159" s="18"/>
      <c r="B159" s="19" t="s">
        <v>473</v>
      </c>
      <c r="C159" s="28"/>
      <c r="D159" s="21"/>
      <c r="E159" s="20"/>
      <c r="F159" s="21"/>
      <c r="G159" s="20"/>
      <c r="H159" s="21"/>
      <c r="I159" s="69"/>
      <c r="J159" s="21"/>
      <c r="K159" s="20"/>
      <c r="L159" s="21"/>
    </row>
    <row r="160" spans="1:13" s="3" customFormat="1" x14ac:dyDescent="0.25">
      <c r="A160" s="18"/>
      <c r="B160" s="19"/>
      <c r="C160" s="28"/>
      <c r="D160" s="21"/>
      <c r="E160" s="20"/>
      <c r="F160" s="21"/>
      <c r="G160" s="20"/>
      <c r="H160" s="21"/>
      <c r="I160" s="69"/>
      <c r="J160" s="21"/>
      <c r="K160" s="20"/>
      <c r="L160" s="21"/>
    </row>
    <row r="161" spans="1:12" s="1" customFormat="1" ht="14.25" x14ac:dyDescent="0.2">
      <c r="A161" s="5" t="s">
        <v>847</v>
      </c>
      <c r="B161" s="7" t="s">
        <v>443</v>
      </c>
      <c r="C161" s="29">
        <v>401576</v>
      </c>
      <c r="D161" s="11">
        <v>0</v>
      </c>
      <c r="E161" s="9">
        <v>0</v>
      </c>
      <c r="F161" s="11">
        <v>0</v>
      </c>
      <c r="G161" s="9">
        <v>401576</v>
      </c>
      <c r="H161" s="11">
        <v>0</v>
      </c>
      <c r="I161" s="70">
        <v>0</v>
      </c>
      <c r="J161" s="11">
        <f t="shared" ref="J161:J162" si="86">C161+I161</f>
        <v>401576</v>
      </c>
      <c r="K161" s="9"/>
      <c r="L161" s="11"/>
    </row>
    <row r="162" spans="1:12" s="1" customFormat="1" ht="14.25" x14ac:dyDescent="0.2">
      <c r="A162" s="5" t="s">
        <v>848</v>
      </c>
      <c r="B162" s="7" t="s">
        <v>849</v>
      </c>
      <c r="C162" s="29">
        <v>4502550</v>
      </c>
      <c r="D162" s="11">
        <v>0</v>
      </c>
      <c r="E162" s="9">
        <v>0</v>
      </c>
      <c r="F162" s="11">
        <v>1567111.7</v>
      </c>
      <c r="G162" s="9">
        <v>2935438.3</v>
      </c>
      <c r="H162" s="11">
        <v>34.799999999999997</v>
      </c>
      <c r="I162" s="70">
        <v>0</v>
      </c>
      <c r="J162" s="11">
        <f t="shared" si="86"/>
        <v>4502550</v>
      </c>
      <c r="K162" s="9">
        <f>'[3]ALL DEPARTMENTS'!$I$391</f>
        <v>4664550</v>
      </c>
      <c r="L162" s="11">
        <f>'[3]ALL DEPARTMENTS'!$J$391</f>
        <v>4907250</v>
      </c>
    </row>
    <row r="163" spans="1:12" s="1" customFormat="1" ht="14.25" x14ac:dyDescent="0.2">
      <c r="A163" s="5"/>
      <c r="B163" s="7"/>
      <c r="C163" s="29"/>
      <c r="D163" s="11"/>
      <c r="E163" s="9"/>
      <c r="F163" s="11"/>
      <c r="G163" s="9"/>
      <c r="H163" s="11"/>
      <c r="I163" s="70"/>
      <c r="J163" s="11"/>
      <c r="K163" s="9"/>
      <c r="L163" s="11"/>
    </row>
    <row r="164" spans="1:12" s="3" customFormat="1" x14ac:dyDescent="0.25">
      <c r="A164" s="18"/>
      <c r="B164" s="19" t="s">
        <v>494</v>
      </c>
      <c r="C164" s="28">
        <f>SUM(C161:C163)</f>
        <v>4904126</v>
      </c>
      <c r="D164" s="36">
        <f t="shared" ref="D164:G164" si="87">SUM(D161:D163)</f>
        <v>0</v>
      </c>
      <c r="E164" s="28">
        <f t="shared" si="87"/>
        <v>0</v>
      </c>
      <c r="F164" s="36">
        <f t="shared" si="87"/>
        <v>1567111.7</v>
      </c>
      <c r="G164" s="28">
        <f t="shared" si="87"/>
        <v>3337014.3</v>
      </c>
      <c r="H164" s="21">
        <v>31.95</v>
      </c>
      <c r="I164" s="71">
        <f t="shared" ref="I164:L164" si="88">SUM(I161:I163)</f>
        <v>0</v>
      </c>
      <c r="J164" s="36">
        <f t="shared" si="88"/>
        <v>4904126</v>
      </c>
      <c r="K164" s="28">
        <f t="shared" si="88"/>
        <v>4664550</v>
      </c>
      <c r="L164" s="36">
        <f t="shared" si="88"/>
        <v>4907250</v>
      </c>
    </row>
    <row r="165" spans="1:12" s="1" customFormat="1" ht="14.25" x14ac:dyDescent="0.2">
      <c r="A165" s="5"/>
      <c r="B165" s="7"/>
      <c r="C165" s="29"/>
      <c r="D165" s="11"/>
      <c r="E165" s="9"/>
      <c r="F165" s="11"/>
      <c r="G165" s="9"/>
      <c r="H165" s="11"/>
      <c r="I165" s="70"/>
      <c r="J165" s="11"/>
      <c r="K165" s="9"/>
      <c r="L165" s="11"/>
    </row>
    <row r="166" spans="1:12" s="3" customFormat="1" x14ac:dyDescent="0.25">
      <c r="A166" s="18"/>
      <c r="B166" s="19" t="s">
        <v>495</v>
      </c>
      <c r="C166" s="28">
        <f>C164</f>
        <v>4904126</v>
      </c>
      <c r="D166" s="36">
        <f t="shared" ref="D166:L166" si="89">D164</f>
        <v>0</v>
      </c>
      <c r="E166" s="28">
        <f t="shared" si="89"/>
        <v>0</v>
      </c>
      <c r="F166" s="36">
        <f t="shared" si="89"/>
        <v>1567111.7</v>
      </c>
      <c r="G166" s="28">
        <f t="shared" si="89"/>
        <v>3337014.3</v>
      </c>
      <c r="H166" s="21">
        <v>31.95</v>
      </c>
      <c r="I166" s="71">
        <f t="shared" si="89"/>
        <v>0</v>
      </c>
      <c r="J166" s="36">
        <f t="shared" si="89"/>
        <v>4904126</v>
      </c>
      <c r="K166" s="28">
        <f t="shared" si="89"/>
        <v>4664550</v>
      </c>
      <c r="L166" s="36">
        <f t="shared" si="89"/>
        <v>4907250</v>
      </c>
    </row>
    <row r="167" spans="1:12" s="3" customFormat="1" x14ac:dyDescent="0.25">
      <c r="A167" s="230"/>
      <c r="B167" s="230"/>
      <c r="C167" s="231"/>
      <c r="D167" s="231"/>
      <c r="E167" s="231"/>
      <c r="F167" s="231"/>
      <c r="G167" s="231"/>
      <c r="H167" s="34"/>
      <c r="I167" s="232"/>
      <c r="J167" s="231"/>
      <c r="K167" s="231"/>
      <c r="L167" s="231"/>
    </row>
    <row r="168" spans="1:12" s="233" customFormat="1" x14ac:dyDescent="0.25">
      <c r="B168" s="233" t="s">
        <v>496</v>
      </c>
      <c r="C168" s="234">
        <f>C157+C166</f>
        <v>5702550</v>
      </c>
      <c r="D168" s="234">
        <f t="shared" ref="D168:F168" si="90">D157+D166</f>
        <v>0</v>
      </c>
      <c r="E168" s="234">
        <f t="shared" si="90"/>
        <v>87600</v>
      </c>
      <c r="F168" s="234">
        <f t="shared" si="90"/>
        <v>1567111.7</v>
      </c>
      <c r="G168" s="234">
        <f>G157+G166</f>
        <v>4135438.3</v>
      </c>
      <c r="H168" s="233">
        <f>F168/C168*100</f>
        <v>27.480893635303506</v>
      </c>
      <c r="I168" s="234">
        <f t="shared" ref="I168:L168" si="91">I157+I166</f>
        <v>0</v>
      </c>
      <c r="J168" s="234">
        <f t="shared" si="91"/>
        <v>5702550</v>
      </c>
      <c r="K168" s="234">
        <f t="shared" si="91"/>
        <v>6284550</v>
      </c>
      <c r="L168" s="234">
        <f t="shared" si="91"/>
        <v>6407250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zoomScaleNormal="100" workbookViewId="0">
      <pane xSplit="2" ySplit="1" topLeftCell="E101" activePane="bottomRight" state="frozen"/>
      <selection pane="topRight" activeCell="C1" sqref="C1"/>
      <selection pane="bottomLeft" activeCell="A2" sqref="A2"/>
      <selection pane="bottomRight" activeCell="K20" sqref="K20"/>
    </sheetView>
  </sheetViews>
  <sheetFormatPr defaultRowHeight="15" x14ac:dyDescent="0.25"/>
  <cols>
    <col min="1" max="1" width="18.42578125" bestFit="1" customWidth="1"/>
    <col min="2" max="2" width="62" bestFit="1" customWidth="1"/>
    <col min="3" max="3" width="15" style="60" customWidth="1"/>
    <col min="4" max="4" width="16.5703125" style="60" customWidth="1"/>
    <col min="5" max="5" width="15" style="60" customWidth="1"/>
    <col min="6" max="6" width="13.28515625" style="60" customWidth="1"/>
    <col min="7" max="7" width="13.140625" style="60" customWidth="1"/>
    <col min="8" max="8" width="7.28515625" style="60" customWidth="1"/>
    <col min="9" max="9" width="13.85546875" style="67" customWidth="1"/>
    <col min="10" max="10" width="13.140625" style="60" customWidth="1"/>
    <col min="11" max="11" width="13.42578125" style="60" customWidth="1"/>
    <col min="12" max="12" width="13.140625" style="60" customWidth="1"/>
  </cols>
  <sheetData>
    <row r="1" spans="1:12" s="3" customFormat="1" ht="45.75" thickBot="1" x14ac:dyDescent="0.3">
      <c r="A1" s="13" t="s">
        <v>0</v>
      </c>
      <c r="B1" s="14" t="s">
        <v>1</v>
      </c>
      <c r="C1" s="44" t="s">
        <v>2</v>
      </c>
      <c r="D1" s="45" t="s">
        <v>3</v>
      </c>
      <c r="E1" s="46" t="s">
        <v>4</v>
      </c>
      <c r="F1" s="47" t="s">
        <v>5</v>
      </c>
      <c r="G1" s="46" t="s">
        <v>6</v>
      </c>
      <c r="H1" s="45" t="s">
        <v>7</v>
      </c>
      <c r="I1" s="61" t="s">
        <v>999</v>
      </c>
      <c r="J1" s="47" t="s">
        <v>1000</v>
      </c>
      <c r="K1" s="48" t="s">
        <v>1001</v>
      </c>
      <c r="L1" s="47" t="s">
        <v>1002</v>
      </c>
    </row>
    <row r="2" spans="1:12" s="3" customFormat="1" x14ac:dyDescent="0.25">
      <c r="A2" s="18"/>
      <c r="B2" s="19" t="s">
        <v>852</v>
      </c>
      <c r="C2" s="49"/>
      <c r="D2" s="50"/>
      <c r="E2" s="51"/>
      <c r="F2" s="50"/>
      <c r="G2" s="51"/>
      <c r="H2" s="50"/>
      <c r="I2" s="62"/>
      <c r="J2" s="50"/>
      <c r="K2" s="51"/>
      <c r="L2" s="50"/>
    </row>
    <row r="3" spans="1:12" s="3" customFormat="1" x14ac:dyDescent="0.25">
      <c r="A3" s="18"/>
      <c r="B3" s="19"/>
      <c r="C3" s="49"/>
      <c r="D3" s="50"/>
      <c r="E3" s="51"/>
      <c r="F3" s="50"/>
      <c r="G3" s="51"/>
      <c r="H3" s="50"/>
      <c r="I3" s="62"/>
      <c r="J3" s="50"/>
      <c r="K3" s="51"/>
      <c r="L3" s="50"/>
    </row>
    <row r="4" spans="1:12" s="3" customFormat="1" x14ac:dyDescent="0.25">
      <c r="A4" s="18"/>
      <c r="B4" s="19" t="s">
        <v>9</v>
      </c>
      <c r="C4" s="49"/>
      <c r="D4" s="50"/>
      <c r="E4" s="51"/>
      <c r="F4" s="50"/>
      <c r="G4" s="51"/>
      <c r="H4" s="50"/>
      <c r="I4" s="62"/>
      <c r="J4" s="50"/>
      <c r="K4" s="51"/>
      <c r="L4" s="50"/>
    </row>
    <row r="5" spans="1:12" s="3" customFormat="1" x14ac:dyDescent="0.25">
      <c r="A5" s="18"/>
      <c r="B5" s="19"/>
      <c r="C5" s="49"/>
      <c r="D5" s="50"/>
      <c r="E5" s="51"/>
      <c r="F5" s="50"/>
      <c r="G5" s="51"/>
      <c r="H5" s="50"/>
      <c r="I5" s="62"/>
      <c r="J5" s="50"/>
      <c r="K5" s="51"/>
      <c r="L5" s="50"/>
    </row>
    <row r="6" spans="1:12" s="3" customFormat="1" x14ac:dyDescent="0.25">
      <c r="A6" s="18"/>
      <c r="B6" s="19" t="s">
        <v>10</v>
      </c>
      <c r="C6" s="49"/>
      <c r="D6" s="50"/>
      <c r="E6" s="51"/>
      <c r="F6" s="50"/>
      <c r="G6" s="51"/>
      <c r="H6" s="50"/>
      <c r="I6" s="62"/>
      <c r="J6" s="50"/>
      <c r="K6" s="51"/>
      <c r="L6" s="50"/>
    </row>
    <row r="7" spans="1:12" s="3" customFormat="1" x14ac:dyDescent="0.25">
      <c r="A7" s="18"/>
      <c r="B7" s="19"/>
      <c r="C7" s="49"/>
      <c r="D7" s="50"/>
      <c r="E7" s="51"/>
      <c r="F7" s="50"/>
      <c r="G7" s="51"/>
      <c r="H7" s="50"/>
      <c r="I7" s="62"/>
      <c r="J7" s="50"/>
      <c r="K7" s="51"/>
      <c r="L7" s="50"/>
    </row>
    <row r="8" spans="1:12" s="3" customFormat="1" x14ac:dyDescent="0.25">
      <c r="A8" s="18"/>
      <c r="B8" s="19" t="s">
        <v>11</v>
      </c>
      <c r="C8" s="49"/>
      <c r="D8" s="50"/>
      <c r="E8" s="51"/>
      <c r="F8" s="50"/>
      <c r="G8" s="51"/>
      <c r="H8" s="50"/>
      <c r="I8" s="62"/>
      <c r="J8" s="50"/>
      <c r="K8" s="51"/>
      <c r="L8" s="50"/>
    </row>
    <row r="9" spans="1:12" s="3" customFormat="1" x14ac:dyDescent="0.25">
      <c r="A9" s="18"/>
      <c r="B9" s="19"/>
      <c r="C9" s="49"/>
      <c r="D9" s="50"/>
      <c r="E9" s="51"/>
      <c r="F9" s="50"/>
      <c r="G9" s="51"/>
      <c r="H9" s="50"/>
      <c r="I9" s="62"/>
      <c r="J9" s="50"/>
      <c r="K9" s="51"/>
      <c r="L9" s="50"/>
    </row>
    <row r="10" spans="1:12" s="1" customFormat="1" ht="14.25" x14ac:dyDescent="0.2">
      <c r="A10" s="5" t="s">
        <v>853</v>
      </c>
      <c r="B10" s="7" t="s">
        <v>13</v>
      </c>
      <c r="C10" s="52">
        <v>159051</v>
      </c>
      <c r="D10" s="53">
        <v>15904.12</v>
      </c>
      <c r="E10" s="54">
        <v>0</v>
      </c>
      <c r="F10" s="53">
        <v>56752.53</v>
      </c>
      <c r="G10" s="54">
        <f>C10-E10-F10</f>
        <v>102298.47</v>
      </c>
      <c r="H10" s="53">
        <v>35.68</v>
      </c>
      <c r="I10" s="63">
        <v>0</v>
      </c>
      <c r="J10" s="53">
        <f t="shared" ref="J10:J26" si="0">C10+I10</f>
        <v>159051</v>
      </c>
      <c r="K10" s="54">
        <f>J10*6/100+J10</f>
        <v>168594.06</v>
      </c>
      <c r="L10" s="53">
        <f>K10*6/100+K10</f>
        <v>178709.70360000001</v>
      </c>
    </row>
    <row r="11" spans="1:12" s="1" customFormat="1" ht="14.25" x14ac:dyDescent="0.2">
      <c r="A11" s="5" t="s">
        <v>854</v>
      </c>
      <c r="B11" s="7" t="s">
        <v>15</v>
      </c>
      <c r="C11" s="52">
        <v>0</v>
      </c>
      <c r="D11" s="53">
        <v>0</v>
      </c>
      <c r="E11" s="54">
        <v>0</v>
      </c>
      <c r="F11" s="53">
        <v>0</v>
      </c>
      <c r="G11" s="54">
        <f t="shared" ref="G11:G26" si="1">C11-E11-F11</f>
        <v>0</v>
      </c>
      <c r="H11" s="53">
        <v>0</v>
      </c>
      <c r="I11" s="63">
        <v>0</v>
      </c>
      <c r="J11" s="53">
        <f t="shared" si="0"/>
        <v>0</v>
      </c>
      <c r="K11" s="54">
        <f t="shared" ref="K11:L26" si="2">J11*6/100+J11</f>
        <v>0</v>
      </c>
      <c r="L11" s="53">
        <f t="shared" si="2"/>
        <v>0</v>
      </c>
    </row>
    <row r="12" spans="1:12" s="1" customFormat="1" ht="14.25" x14ac:dyDescent="0.2">
      <c r="A12" s="5" t="s">
        <v>855</v>
      </c>
      <c r="B12" s="7" t="s">
        <v>17</v>
      </c>
      <c r="C12" s="52">
        <v>0</v>
      </c>
      <c r="D12" s="53">
        <v>0</v>
      </c>
      <c r="E12" s="54">
        <v>0</v>
      </c>
      <c r="F12" s="53">
        <v>0</v>
      </c>
      <c r="G12" s="54">
        <f t="shared" si="1"/>
        <v>0</v>
      </c>
      <c r="H12" s="53">
        <v>0</v>
      </c>
      <c r="I12" s="63">
        <v>0</v>
      </c>
      <c r="J12" s="53">
        <f t="shared" si="0"/>
        <v>0</v>
      </c>
      <c r="K12" s="54">
        <f t="shared" si="2"/>
        <v>0</v>
      </c>
      <c r="L12" s="53">
        <f t="shared" si="2"/>
        <v>0</v>
      </c>
    </row>
    <row r="13" spans="1:12" s="1" customFormat="1" ht="14.25" x14ac:dyDescent="0.2">
      <c r="A13" s="5" t="s">
        <v>856</v>
      </c>
      <c r="B13" s="7" t="s">
        <v>19</v>
      </c>
      <c r="C13" s="52">
        <v>30000</v>
      </c>
      <c r="D13" s="53">
        <v>4872.4399999999996</v>
      </c>
      <c r="E13" s="54">
        <v>4632.473</v>
      </c>
      <c r="F13" s="53">
        <v>27175.43</v>
      </c>
      <c r="G13" s="54">
        <f t="shared" si="1"/>
        <v>-1807.9029999999984</v>
      </c>
      <c r="H13" s="53">
        <v>90.58</v>
      </c>
      <c r="I13" s="63">
        <v>30000</v>
      </c>
      <c r="J13" s="53">
        <f t="shared" si="0"/>
        <v>60000</v>
      </c>
      <c r="K13" s="54">
        <f t="shared" si="2"/>
        <v>63600</v>
      </c>
      <c r="L13" s="53">
        <f t="shared" si="2"/>
        <v>67416</v>
      </c>
    </row>
    <row r="14" spans="1:12" s="1" customFormat="1" ht="14.25" x14ac:dyDescent="0.2">
      <c r="A14" s="5" t="s">
        <v>857</v>
      </c>
      <c r="B14" s="7" t="s">
        <v>21</v>
      </c>
      <c r="C14" s="52">
        <v>40000</v>
      </c>
      <c r="D14" s="53">
        <v>15082.11</v>
      </c>
      <c r="E14" s="54">
        <v>0</v>
      </c>
      <c r="F14" s="53">
        <v>23887.79</v>
      </c>
      <c r="G14" s="54">
        <f t="shared" si="1"/>
        <v>16112.21</v>
      </c>
      <c r="H14" s="53">
        <v>59.71</v>
      </c>
      <c r="I14" s="63">
        <v>40000</v>
      </c>
      <c r="J14" s="53">
        <f t="shared" si="0"/>
        <v>80000</v>
      </c>
      <c r="K14" s="54">
        <f t="shared" si="2"/>
        <v>84800</v>
      </c>
      <c r="L14" s="53">
        <f t="shared" si="2"/>
        <v>89888</v>
      </c>
    </row>
    <row r="15" spans="1:12" s="1" customFormat="1" ht="14.25" x14ac:dyDescent="0.2">
      <c r="A15" s="5" t="s">
        <v>858</v>
      </c>
      <c r="B15" s="7" t="s">
        <v>22</v>
      </c>
      <c r="C15" s="52">
        <v>0</v>
      </c>
      <c r="D15" s="53">
        <v>0</v>
      </c>
      <c r="E15" s="54">
        <v>0</v>
      </c>
      <c r="F15" s="53">
        <v>0</v>
      </c>
      <c r="G15" s="54">
        <f t="shared" si="1"/>
        <v>0</v>
      </c>
      <c r="H15" s="53">
        <v>0</v>
      </c>
      <c r="I15" s="63">
        <v>0</v>
      </c>
      <c r="J15" s="53">
        <f t="shared" si="0"/>
        <v>0</v>
      </c>
      <c r="K15" s="54">
        <f t="shared" si="2"/>
        <v>0</v>
      </c>
      <c r="L15" s="53">
        <f t="shared" si="2"/>
        <v>0</v>
      </c>
    </row>
    <row r="16" spans="1:12" s="1" customFormat="1" ht="14.25" x14ac:dyDescent="0.2">
      <c r="A16" s="5" t="s">
        <v>859</v>
      </c>
      <c r="B16" s="7" t="s">
        <v>24</v>
      </c>
      <c r="C16" s="52">
        <v>24000</v>
      </c>
      <c r="D16" s="53">
        <v>2350</v>
      </c>
      <c r="E16" s="54">
        <v>0</v>
      </c>
      <c r="F16" s="53">
        <v>11750</v>
      </c>
      <c r="G16" s="54">
        <f t="shared" si="1"/>
        <v>12250</v>
      </c>
      <c r="H16" s="53">
        <v>48.95</v>
      </c>
      <c r="I16" s="63">
        <v>0</v>
      </c>
      <c r="J16" s="53">
        <f t="shared" si="0"/>
        <v>24000</v>
      </c>
      <c r="K16" s="54">
        <f t="shared" si="2"/>
        <v>25440</v>
      </c>
      <c r="L16" s="53">
        <f t="shared" si="2"/>
        <v>26966.400000000001</v>
      </c>
    </row>
    <row r="17" spans="1:12" s="1" customFormat="1" ht="14.25" x14ac:dyDescent="0.2">
      <c r="A17" s="5" t="s">
        <v>860</v>
      </c>
      <c r="B17" s="7" t="s">
        <v>26</v>
      </c>
      <c r="C17" s="52">
        <v>0</v>
      </c>
      <c r="D17" s="53">
        <v>0</v>
      </c>
      <c r="E17" s="54">
        <v>0</v>
      </c>
      <c r="F17" s="53">
        <v>0</v>
      </c>
      <c r="G17" s="54">
        <f t="shared" si="1"/>
        <v>0</v>
      </c>
      <c r="H17" s="53">
        <v>0</v>
      </c>
      <c r="I17" s="63">
        <v>0</v>
      </c>
      <c r="J17" s="53">
        <f t="shared" si="0"/>
        <v>0</v>
      </c>
      <c r="K17" s="54">
        <f t="shared" si="2"/>
        <v>0</v>
      </c>
      <c r="L17" s="53">
        <f t="shared" si="2"/>
        <v>0</v>
      </c>
    </row>
    <row r="18" spans="1:12" s="1" customFormat="1" ht="14.25" x14ac:dyDescent="0.2">
      <c r="A18" s="5" t="s">
        <v>861</v>
      </c>
      <c r="B18" s="7" t="s">
        <v>28</v>
      </c>
      <c r="C18" s="52">
        <v>0</v>
      </c>
      <c r="D18" s="53">
        <v>0</v>
      </c>
      <c r="E18" s="54">
        <v>0</v>
      </c>
      <c r="F18" s="53">
        <v>0</v>
      </c>
      <c r="G18" s="54">
        <f t="shared" si="1"/>
        <v>0</v>
      </c>
      <c r="H18" s="53">
        <v>0</v>
      </c>
      <c r="I18" s="63">
        <v>0</v>
      </c>
      <c r="J18" s="53">
        <f t="shared" si="0"/>
        <v>0</v>
      </c>
      <c r="K18" s="54">
        <f t="shared" si="2"/>
        <v>0</v>
      </c>
      <c r="L18" s="53">
        <f t="shared" si="2"/>
        <v>0</v>
      </c>
    </row>
    <row r="19" spans="1:12" s="1" customFormat="1" ht="14.25" x14ac:dyDescent="0.2">
      <c r="A19" s="5" t="s">
        <v>862</v>
      </c>
      <c r="B19" s="7" t="s">
        <v>30</v>
      </c>
      <c r="C19" s="52">
        <v>50000</v>
      </c>
      <c r="D19" s="53">
        <v>0</v>
      </c>
      <c r="E19" s="54">
        <v>0</v>
      </c>
      <c r="F19" s="53">
        <v>44874.44</v>
      </c>
      <c r="G19" s="54">
        <f t="shared" si="1"/>
        <v>5125.5599999999977</v>
      </c>
      <c r="H19" s="53">
        <v>89.74</v>
      </c>
      <c r="I19" s="63">
        <v>0</v>
      </c>
      <c r="J19" s="53">
        <f t="shared" si="0"/>
        <v>50000</v>
      </c>
      <c r="K19" s="54">
        <v>0</v>
      </c>
      <c r="L19" s="53">
        <f t="shared" si="2"/>
        <v>0</v>
      </c>
    </row>
    <row r="20" spans="1:12" s="1" customFormat="1" ht="14.25" x14ac:dyDescent="0.2">
      <c r="A20" s="5" t="s">
        <v>863</v>
      </c>
      <c r="B20" s="7" t="s">
        <v>32</v>
      </c>
      <c r="C20" s="52">
        <v>1908605</v>
      </c>
      <c r="D20" s="53">
        <v>146649.59</v>
      </c>
      <c r="E20" s="54">
        <v>0</v>
      </c>
      <c r="F20" s="53">
        <v>949460.43</v>
      </c>
      <c r="G20" s="54">
        <f t="shared" si="1"/>
        <v>959144.57</v>
      </c>
      <c r="H20" s="53">
        <v>49.74</v>
      </c>
      <c r="I20" s="63">
        <v>0</v>
      </c>
      <c r="J20" s="53">
        <f t="shared" si="0"/>
        <v>1908605</v>
      </c>
      <c r="K20" s="54">
        <f t="shared" si="2"/>
        <v>2023121.3</v>
      </c>
      <c r="L20" s="53">
        <f t="shared" si="2"/>
        <v>2144508.5780000002</v>
      </c>
    </row>
    <row r="21" spans="1:12" s="1" customFormat="1" ht="14.25" x14ac:dyDescent="0.2">
      <c r="A21" s="5" t="s">
        <v>864</v>
      </c>
      <c r="B21" s="7" t="s">
        <v>34</v>
      </c>
      <c r="C21" s="52">
        <v>0</v>
      </c>
      <c r="D21" s="53">
        <v>0</v>
      </c>
      <c r="E21" s="54">
        <v>0</v>
      </c>
      <c r="F21" s="53">
        <v>0</v>
      </c>
      <c r="G21" s="54">
        <f t="shared" si="1"/>
        <v>0</v>
      </c>
      <c r="H21" s="53">
        <v>0</v>
      </c>
      <c r="I21" s="63">
        <v>0</v>
      </c>
      <c r="J21" s="53">
        <f t="shared" si="0"/>
        <v>0</v>
      </c>
      <c r="K21" s="54">
        <f t="shared" si="2"/>
        <v>0</v>
      </c>
      <c r="L21" s="53">
        <f t="shared" si="2"/>
        <v>0</v>
      </c>
    </row>
    <row r="22" spans="1:12" s="1" customFormat="1" ht="14.25" x14ac:dyDescent="0.2">
      <c r="A22" s="5" t="s">
        <v>865</v>
      </c>
      <c r="B22" s="7" t="s">
        <v>36</v>
      </c>
      <c r="C22" s="52">
        <v>64940</v>
      </c>
      <c r="D22" s="53">
        <v>5411.64</v>
      </c>
      <c r="E22" s="54">
        <v>0</v>
      </c>
      <c r="F22" s="53">
        <v>32469.84</v>
      </c>
      <c r="G22" s="54">
        <f t="shared" si="1"/>
        <v>32470.16</v>
      </c>
      <c r="H22" s="53">
        <v>49.99</v>
      </c>
      <c r="I22" s="63">
        <v>0</v>
      </c>
      <c r="J22" s="53">
        <f t="shared" si="0"/>
        <v>64940</v>
      </c>
      <c r="K22" s="54">
        <f t="shared" si="2"/>
        <v>68836.399999999994</v>
      </c>
      <c r="L22" s="53">
        <f t="shared" si="2"/>
        <v>72966.583999999988</v>
      </c>
    </row>
    <row r="23" spans="1:12" s="43" customFormat="1" ht="14.25" x14ac:dyDescent="0.2">
      <c r="A23" s="40" t="s">
        <v>866</v>
      </c>
      <c r="B23" s="41" t="s">
        <v>850</v>
      </c>
      <c r="C23" s="57">
        <v>1240209</v>
      </c>
      <c r="D23" s="58">
        <v>109641.02</v>
      </c>
      <c r="E23" s="59">
        <v>0</v>
      </c>
      <c r="F23" s="58">
        <v>631830.30000000005</v>
      </c>
      <c r="G23" s="59">
        <f t="shared" si="1"/>
        <v>608378.69999999995</v>
      </c>
      <c r="H23" s="58">
        <v>50.94</v>
      </c>
      <c r="I23" s="66">
        <v>56795</v>
      </c>
      <c r="J23" s="58">
        <f t="shared" si="0"/>
        <v>1297004</v>
      </c>
      <c r="K23" s="54">
        <f t="shared" si="2"/>
        <v>1374824.24</v>
      </c>
      <c r="L23" s="53">
        <f t="shared" si="2"/>
        <v>1457313.6943999999</v>
      </c>
    </row>
    <row r="24" spans="1:12" s="1" customFormat="1" ht="14.25" x14ac:dyDescent="0.2">
      <c r="A24" s="5" t="s">
        <v>867</v>
      </c>
      <c r="B24" s="7" t="s">
        <v>44</v>
      </c>
      <c r="C24" s="52">
        <v>0</v>
      </c>
      <c r="D24" s="53">
        <v>0</v>
      </c>
      <c r="E24" s="54">
        <v>0</v>
      </c>
      <c r="F24" s="53">
        <v>0</v>
      </c>
      <c r="G24" s="54">
        <f t="shared" si="1"/>
        <v>0</v>
      </c>
      <c r="H24" s="53">
        <v>0</v>
      </c>
      <c r="I24" s="63">
        <v>0</v>
      </c>
      <c r="J24" s="53">
        <f t="shared" si="0"/>
        <v>0</v>
      </c>
      <c r="K24" s="54">
        <f t="shared" si="2"/>
        <v>0</v>
      </c>
      <c r="L24" s="53">
        <f t="shared" si="2"/>
        <v>0</v>
      </c>
    </row>
    <row r="25" spans="1:12" s="1" customFormat="1" ht="14.25" x14ac:dyDescent="0.2">
      <c r="A25" s="5" t="s">
        <v>868</v>
      </c>
      <c r="B25" s="7" t="s">
        <v>46</v>
      </c>
      <c r="C25" s="52">
        <v>0</v>
      </c>
      <c r="D25" s="53">
        <v>0</v>
      </c>
      <c r="E25" s="54">
        <v>0</v>
      </c>
      <c r="F25" s="53">
        <v>0</v>
      </c>
      <c r="G25" s="54">
        <f t="shared" si="1"/>
        <v>0</v>
      </c>
      <c r="H25" s="53">
        <v>0</v>
      </c>
      <c r="I25" s="63">
        <v>0</v>
      </c>
      <c r="J25" s="53">
        <f t="shared" si="0"/>
        <v>0</v>
      </c>
      <c r="K25" s="54">
        <f t="shared" si="2"/>
        <v>0</v>
      </c>
      <c r="L25" s="53">
        <f t="shared" si="2"/>
        <v>0</v>
      </c>
    </row>
    <row r="26" spans="1:12" s="1" customFormat="1" ht="14.25" x14ac:dyDescent="0.2">
      <c r="A26" s="5" t="s">
        <v>869</v>
      </c>
      <c r="B26" s="7" t="s">
        <v>48</v>
      </c>
      <c r="C26" s="52">
        <v>0</v>
      </c>
      <c r="D26" s="53">
        <v>0</v>
      </c>
      <c r="E26" s="54">
        <v>0</v>
      </c>
      <c r="F26" s="53">
        <v>0</v>
      </c>
      <c r="G26" s="54">
        <f t="shared" si="1"/>
        <v>0</v>
      </c>
      <c r="H26" s="53">
        <v>0</v>
      </c>
      <c r="I26" s="63">
        <v>0</v>
      </c>
      <c r="J26" s="53">
        <f t="shared" si="0"/>
        <v>0</v>
      </c>
      <c r="K26" s="54">
        <f t="shared" si="2"/>
        <v>0</v>
      </c>
      <c r="L26" s="53">
        <f t="shared" si="2"/>
        <v>0</v>
      </c>
    </row>
    <row r="27" spans="1:12" s="1" customFormat="1" ht="14.25" x14ac:dyDescent="0.2">
      <c r="A27" s="5"/>
      <c r="B27" s="7"/>
      <c r="C27" s="52"/>
      <c r="D27" s="53"/>
      <c r="E27" s="54"/>
      <c r="F27" s="53"/>
      <c r="G27" s="54"/>
      <c r="H27" s="53"/>
      <c r="I27" s="63"/>
      <c r="J27" s="53"/>
      <c r="K27" s="54"/>
      <c r="L27" s="53"/>
    </row>
    <row r="28" spans="1:12" s="3" customFormat="1" x14ac:dyDescent="0.25">
      <c r="A28" s="18"/>
      <c r="B28" s="19" t="s">
        <v>49</v>
      </c>
      <c r="C28" s="49">
        <f>SUM(C10:C27)</f>
        <v>3516805</v>
      </c>
      <c r="D28" s="55">
        <f t="shared" ref="D28:G28" si="3">SUM(D10:D27)</f>
        <v>299910.92000000004</v>
      </c>
      <c r="E28" s="49">
        <f t="shared" si="3"/>
        <v>4632.473</v>
      </c>
      <c r="F28" s="55">
        <f t="shared" si="3"/>
        <v>1778200.7600000002</v>
      </c>
      <c r="G28" s="49">
        <f t="shared" si="3"/>
        <v>1733971.7669999998</v>
      </c>
      <c r="H28" s="50">
        <v>50.56</v>
      </c>
      <c r="I28" s="64">
        <f t="shared" ref="I28:L28" si="4">SUM(I10:I27)</f>
        <v>126795</v>
      </c>
      <c r="J28" s="55">
        <f t="shared" si="4"/>
        <v>3643600</v>
      </c>
      <c r="K28" s="49">
        <f t="shared" si="4"/>
        <v>3809216</v>
      </c>
      <c r="L28" s="55">
        <f t="shared" si="4"/>
        <v>4037768.96</v>
      </c>
    </row>
    <row r="29" spans="1:12" s="3" customFormat="1" x14ac:dyDescent="0.25">
      <c r="A29" s="18"/>
      <c r="B29" s="19"/>
      <c r="C29" s="49"/>
      <c r="D29" s="50"/>
      <c r="E29" s="51"/>
      <c r="F29" s="50"/>
      <c r="G29" s="51"/>
      <c r="H29" s="50"/>
      <c r="I29" s="62"/>
      <c r="J29" s="50"/>
      <c r="K29" s="51"/>
      <c r="L29" s="50"/>
    </row>
    <row r="30" spans="1:12" s="3" customFormat="1" x14ac:dyDescent="0.25">
      <c r="A30" s="18"/>
      <c r="B30" s="19" t="s">
        <v>50</v>
      </c>
      <c r="C30" s="49"/>
      <c r="D30" s="50"/>
      <c r="E30" s="51"/>
      <c r="F30" s="50"/>
      <c r="G30" s="51"/>
      <c r="H30" s="50"/>
      <c r="I30" s="62"/>
      <c r="J30" s="50"/>
      <c r="K30" s="51"/>
      <c r="L30" s="50"/>
    </row>
    <row r="31" spans="1:12" s="1" customFormat="1" ht="14.25" x14ac:dyDescent="0.2">
      <c r="A31" s="5"/>
      <c r="B31" s="7"/>
      <c r="C31" s="52"/>
      <c r="D31" s="53"/>
      <c r="E31" s="54"/>
      <c r="F31" s="53"/>
      <c r="G31" s="54"/>
      <c r="H31" s="53"/>
      <c r="I31" s="63"/>
      <c r="J31" s="53"/>
      <c r="K31" s="54"/>
      <c r="L31" s="53"/>
    </row>
    <row r="32" spans="1:12" s="1" customFormat="1" ht="14.25" x14ac:dyDescent="0.2">
      <c r="A32" s="5" t="s">
        <v>870</v>
      </c>
      <c r="B32" s="7" t="s">
        <v>53</v>
      </c>
      <c r="C32" s="52">
        <v>915</v>
      </c>
      <c r="D32" s="53">
        <v>72.5</v>
      </c>
      <c r="E32" s="54">
        <v>0</v>
      </c>
      <c r="F32" s="53">
        <v>464</v>
      </c>
      <c r="G32" s="54">
        <f t="shared" ref="G32:G39" si="5">C32-E32-F32</f>
        <v>451</v>
      </c>
      <c r="H32" s="53">
        <v>50.71</v>
      </c>
      <c r="I32" s="63">
        <v>0</v>
      </c>
      <c r="J32" s="53">
        <f t="shared" ref="J32:J39" si="6">C32+I32</f>
        <v>915</v>
      </c>
      <c r="K32" s="54">
        <f t="shared" ref="K32:L32" si="7">J32*6/100+J32</f>
        <v>969.9</v>
      </c>
      <c r="L32" s="53">
        <f t="shared" si="7"/>
        <v>1028.0940000000001</v>
      </c>
    </row>
    <row r="33" spans="1:12" s="1" customFormat="1" ht="14.25" x14ac:dyDescent="0.2">
      <c r="A33" s="5" t="s">
        <v>871</v>
      </c>
      <c r="B33" s="7" t="s">
        <v>55</v>
      </c>
      <c r="C33" s="52">
        <v>17218</v>
      </c>
      <c r="D33" s="53">
        <v>1345.69</v>
      </c>
      <c r="E33" s="54">
        <v>0</v>
      </c>
      <c r="F33" s="53">
        <v>8885.69</v>
      </c>
      <c r="G33" s="54">
        <f t="shared" si="5"/>
        <v>8332.31</v>
      </c>
      <c r="H33" s="53">
        <v>51.6</v>
      </c>
      <c r="I33" s="63">
        <v>0</v>
      </c>
      <c r="J33" s="53">
        <f t="shared" si="6"/>
        <v>17218</v>
      </c>
      <c r="K33" s="54">
        <f t="shared" ref="K33:L33" si="8">J33*6/100+J33</f>
        <v>18251.080000000002</v>
      </c>
      <c r="L33" s="53">
        <f t="shared" si="8"/>
        <v>19346.144800000002</v>
      </c>
    </row>
    <row r="34" spans="1:12" s="1" customFormat="1" ht="14.25" x14ac:dyDescent="0.2">
      <c r="A34" s="5" t="s">
        <v>872</v>
      </c>
      <c r="B34" s="7" t="s">
        <v>57</v>
      </c>
      <c r="C34" s="52">
        <v>100786</v>
      </c>
      <c r="D34" s="53">
        <v>9771.6</v>
      </c>
      <c r="E34" s="54">
        <v>0</v>
      </c>
      <c r="F34" s="53">
        <v>59030.9</v>
      </c>
      <c r="G34" s="54">
        <f t="shared" si="5"/>
        <v>41755.1</v>
      </c>
      <c r="H34" s="53">
        <v>58.57</v>
      </c>
      <c r="I34" s="63">
        <f>C34*10/100</f>
        <v>10078.6</v>
      </c>
      <c r="J34" s="53">
        <f t="shared" si="6"/>
        <v>110864.6</v>
      </c>
      <c r="K34" s="54">
        <f t="shared" ref="K34:L34" si="9">J34*6/100+J34</f>
        <v>117516.47600000001</v>
      </c>
      <c r="L34" s="53">
        <f t="shared" si="9"/>
        <v>124567.46456000001</v>
      </c>
    </row>
    <row r="35" spans="1:12" s="1" customFormat="1" ht="14.25" x14ac:dyDescent="0.2">
      <c r="A35" s="5" t="s">
        <v>873</v>
      </c>
      <c r="B35" s="7" t="s">
        <v>59</v>
      </c>
      <c r="C35" s="52">
        <v>411973</v>
      </c>
      <c r="D35" s="53">
        <v>30663.61</v>
      </c>
      <c r="E35" s="54">
        <v>0</v>
      </c>
      <c r="F35" s="53">
        <v>198959</v>
      </c>
      <c r="G35" s="54">
        <f t="shared" si="5"/>
        <v>213014</v>
      </c>
      <c r="H35" s="53">
        <v>48.29</v>
      </c>
      <c r="I35" s="63">
        <v>0</v>
      </c>
      <c r="J35" s="53">
        <f t="shared" si="6"/>
        <v>411973</v>
      </c>
      <c r="K35" s="54">
        <f t="shared" ref="K35:L35" si="10">J35*6/100+J35</f>
        <v>436691.38</v>
      </c>
      <c r="L35" s="53">
        <f t="shared" si="10"/>
        <v>462892.8628</v>
      </c>
    </row>
    <row r="36" spans="1:12" s="1" customFormat="1" ht="14.25" x14ac:dyDescent="0.2">
      <c r="A36" s="5" t="s">
        <v>874</v>
      </c>
      <c r="B36" s="7" t="s">
        <v>60</v>
      </c>
      <c r="C36" s="52">
        <v>0</v>
      </c>
      <c r="D36" s="53">
        <v>0</v>
      </c>
      <c r="E36" s="54">
        <v>0</v>
      </c>
      <c r="F36" s="53">
        <v>0</v>
      </c>
      <c r="G36" s="54">
        <f t="shared" si="5"/>
        <v>0</v>
      </c>
      <c r="H36" s="53">
        <v>0</v>
      </c>
      <c r="I36" s="63">
        <v>0</v>
      </c>
      <c r="J36" s="53">
        <f t="shared" si="6"/>
        <v>0</v>
      </c>
      <c r="K36" s="54">
        <f t="shared" ref="K36:L36" si="11">J36*6/100+J36</f>
        <v>0</v>
      </c>
      <c r="L36" s="53">
        <f t="shared" si="11"/>
        <v>0</v>
      </c>
    </row>
    <row r="37" spans="1:12" s="1" customFormat="1" ht="14.25" x14ac:dyDescent="0.2">
      <c r="A37" s="5" t="s">
        <v>875</v>
      </c>
      <c r="B37" s="7" t="s">
        <v>62</v>
      </c>
      <c r="C37" s="52">
        <v>38172</v>
      </c>
      <c r="D37" s="53">
        <v>2900.07</v>
      </c>
      <c r="E37" s="54">
        <v>0</v>
      </c>
      <c r="F37" s="53">
        <v>17189.810000000001</v>
      </c>
      <c r="G37" s="54">
        <f t="shared" si="5"/>
        <v>20982.19</v>
      </c>
      <c r="H37" s="53">
        <v>45.03</v>
      </c>
      <c r="I37" s="63">
        <v>0</v>
      </c>
      <c r="J37" s="53">
        <f t="shared" si="6"/>
        <v>38172</v>
      </c>
      <c r="K37" s="54">
        <f t="shared" ref="K37:L37" si="12">J37*6/100+J37</f>
        <v>40462.32</v>
      </c>
      <c r="L37" s="53">
        <f t="shared" si="12"/>
        <v>42890.059200000003</v>
      </c>
    </row>
    <row r="38" spans="1:12" s="1" customFormat="1" ht="14.25" x14ac:dyDescent="0.2">
      <c r="A38" s="5"/>
      <c r="B38" s="7"/>
      <c r="C38" s="52"/>
      <c r="D38" s="53"/>
      <c r="E38" s="54"/>
      <c r="F38" s="53"/>
      <c r="G38" s="54"/>
      <c r="H38" s="53"/>
      <c r="I38" s="63"/>
      <c r="J38" s="53"/>
      <c r="K38" s="54"/>
      <c r="L38" s="53"/>
    </row>
    <row r="39" spans="1:12" s="3" customFormat="1" x14ac:dyDescent="0.25">
      <c r="A39" s="18"/>
      <c r="B39" s="19" t="s">
        <v>63</v>
      </c>
      <c r="C39" s="49">
        <v>569064</v>
      </c>
      <c r="D39" s="50">
        <v>44753.47</v>
      </c>
      <c r="E39" s="51">
        <v>0</v>
      </c>
      <c r="F39" s="50">
        <v>284529.40000000002</v>
      </c>
      <c r="G39" s="51">
        <f t="shared" si="5"/>
        <v>284534.59999999998</v>
      </c>
      <c r="H39" s="50">
        <v>49.99</v>
      </c>
      <c r="I39" s="62">
        <f>SUM(I32:I37)</f>
        <v>10078.6</v>
      </c>
      <c r="J39" s="50">
        <f t="shared" si="6"/>
        <v>579142.6</v>
      </c>
      <c r="K39" s="51">
        <f t="shared" ref="K39:L39" si="13">SUM(K32:K37)</f>
        <v>613891.15599999996</v>
      </c>
      <c r="L39" s="51">
        <f t="shared" si="13"/>
        <v>650724.62536000006</v>
      </c>
    </row>
    <row r="40" spans="1:12" s="1" customFormat="1" ht="14.25" x14ac:dyDescent="0.2">
      <c r="A40" s="5"/>
      <c r="B40" s="7"/>
      <c r="C40" s="52"/>
      <c r="D40" s="53"/>
      <c r="E40" s="54"/>
      <c r="F40" s="53"/>
      <c r="G40" s="54"/>
      <c r="H40" s="53"/>
      <c r="I40" s="63"/>
      <c r="J40" s="53"/>
      <c r="K40" s="54"/>
      <c r="L40" s="53"/>
    </row>
    <row r="41" spans="1:12" s="3" customFormat="1" x14ac:dyDescent="0.25">
      <c r="A41" s="18"/>
      <c r="B41" s="19" t="s">
        <v>73</v>
      </c>
      <c r="C41" s="49">
        <f>C28+C39</f>
        <v>4085869</v>
      </c>
      <c r="D41" s="55">
        <f t="shared" ref="D41:L41" si="14">D28+D39</f>
        <v>344664.39</v>
      </c>
      <c r="E41" s="49">
        <f t="shared" si="14"/>
        <v>4632.473</v>
      </c>
      <c r="F41" s="55">
        <f t="shared" si="14"/>
        <v>2062730.1600000001</v>
      </c>
      <c r="G41" s="49">
        <f t="shared" si="14"/>
        <v>2018506.3669999996</v>
      </c>
      <c r="H41" s="50">
        <v>50.48</v>
      </c>
      <c r="I41" s="64">
        <f t="shared" si="14"/>
        <v>136873.60000000001</v>
      </c>
      <c r="J41" s="55">
        <f t="shared" si="14"/>
        <v>4222742.5999999996</v>
      </c>
      <c r="K41" s="49">
        <f t="shared" si="14"/>
        <v>4423107.1559999995</v>
      </c>
      <c r="L41" s="55">
        <f t="shared" si="14"/>
        <v>4688493.5853599999</v>
      </c>
    </row>
    <row r="42" spans="1:12" s="3" customFormat="1" x14ac:dyDescent="0.25">
      <c r="A42" s="18"/>
      <c r="B42" s="19"/>
      <c r="C42" s="49"/>
      <c r="D42" s="50"/>
      <c r="E42" s="51"/>
      <c r="F42" s="50"/>
      <c r="G42" s="51"/>
      <c r="H42" s="50"/>
      <c r="I42" s="62"/>
      <c r="J42" s="50"/>
      <c r="K42" s="51"/>
      <c r="L42" s="50"/>
    </row>
    <row r="43" spans="1:12" s="3" customFormat="1" x14ac:dyDescent="0.25">
      <c r="A43" s="18"/>
      <c r="B43" s="19" t="s">
        <v>74</v>
      </c>
      <c r="C43" s="49"/>
      <c r="D43" s="50"/>
      <c r="E43" s="51"/>
      <c r="F43" s="50"/>
      <c r="G43" s="51"/>
      <c r="H43" s="50"/>
      <c r="I43" s="62"/>
      <c r="J43" s="50"/>
      <c r="K43" s="51"/>
      <c r="L43" s="50"/>
    </row>
    <row r="44" spans="1:12" s="3" customFormat="1" x14ac:dyDescent="0.25">
      <c r="A44" s="18"/>
      <c r="B44" s="19"/>
      <c r="C44" s="49"/>
      <c r="D44" s="50"/>
      <c r="E44" s="51"/>
      <c r="F44" s="50"/>
      <c r="G44" s="51"/>
      <c r="H44" s="50"/>
      <c r="I44" s="62"/>
      <c r="J44" s="50"/>
      <c r="K44" s="51"/>
      <c r="L44" s="50"/>
    </row>
    <row r="45" spans="1:12" s="3" customFormat="1" x14ac:dyDescent="0.25">
      <c r="A45" s="18"/>
      <c r="B45" s="19" t="s">
        <v>75</v>
      </c>
      <c r="C45" s="49"/>
      <c r="D45" s="50"/>
      <c r="E45" s="51"/>
      <c r="F45" s="50"/>
      <c r="G45" s="51"/>
      <c r="H45" s="50"/>
      <c r="I45" s="62"/>
      <c r="J45" s="50"/>
      <c r="K45" s="51"/>
      <c r="L45" s="50"/>
    </row>
    <row r="46" spans="1:12" s="3" customFormat="1" x14ac:dyDescent="0.25">
      <c r="A46" s="18"/>
      <c r="B46" s="19"/>
      <c r="C46" s="49"/>
      <c r="D46" s="50"/>
      <c r="E46" s="51"/>
      <c r="F46" s="50"/>
      <c r="G46" s="51"/>
      <c r="H46" s="50"/>
      <c r="I46" s="62"/>
      <c r="J46" s="50"/>
      <c r="K46" s="51"/>
      <c r="L46" s="50"/>
    </row>
    <row r="47" spans="1:12" s="1" customFormat="1" ht="14.25" x14ac:dyDescent="0.2">
      <c r="A47" s="5" t="s">
        <v>876</v>
      </c>
      <c r="B47" s="7" t="s">
        <v>77</v>
      </c>
      <c r="C47" s="52">
        <v>29113</v>
      </c>
      <c r="D47" s="53">
        <v>0</v>
      </c>
      <c r="E47" s="54">
        <v>2230</v>
      </c>
      <c r="F47" s="53">
        <v>7731.85</v>
      </c>
      <c r="G47" s="54">
        <f>C47-E47-F47</f>
        <v>19151.150000000001</v>
      </c>
      <c r="H47" s="53">
        <v>26.55</v>
      </c>
      <c r="I47" s="63">
        <v>0</v>
      </c>
      <c r="J47" s="53">
        <f t="shared" ref="J47:J63" si="15">C47+I47</f>
        <v>29113</v>
      </c>
      <c r="K47" s="54">
        <f t="shared" ref="K47:L47" si="16">J47*6/100+J47</f>
        <v>30859.78</v>
      </c>
      <c r="L47" s="53">
        <f t="shared" si="16"/>
        <v>32711.3668</v>
      </c>
    </row>
    <row r="48" spans="1:12" s="1" customFormat="1" ht="14.25" x14ac:dyDescent="0.2">
      <c r="A48" s="5" t="s">
        <v>877</v>
      </c>
      <c r="B48" s="7" t="s">
        <v>106</v>
      </c>
      <c r="C48" s="52">
        <v>0</v>
      </c>
      <c r="D48" s="53">
        <v>0</v>
      </c>
      <c r="E48" s="54">
        <v>0</v>
      </c>
      <c r="F48" s="53">
        <v>0</v>
      </c>
      <c r="G48" s="54">
        <f t="shared" ref="G48:G63" si="17">C48-E48-F48</f>
        <v>0</v>
      </c>
      <c r="H48" s="53">
        <v>0</v>
      </c>
      <c r="I48" s="63">
        <v>0</v>
      </c>
      <c r="J48" s="53">
        <f t="shared" si="15"/>
        <v>0</v>
      </c>
      <c r="K48" s="54">
        <f t="shared" ref="K48:L48" si="18">J48*6/100+J48</f>
        <v>0</v>
      </c>
      <c r="L48" s="53">
        <f t="shared" si="18"/>
        <v>0</v>
      </c>
    </row>
    <row r="49" spans="1:12" s="1" customFormat="1" ht="14.25" x14ac:dyDescent="0.2">
      <c r="A49" s="5" t="s">
        <v>878</v>
      </c>
      <c r="B49" s="7" t="s">
        <v>137</v>
      </c>
      <c r="C49" s="52">
        <v>900000</v>
      </c>
      <c r="D49" s="53">
        <v>85110.56</v>
      </c>
      <c r="E49" s="54">
        <v>0</v>
      </c>
      <c r="F49" s="53">
        <v>476864.7</v>
      </c>
      <c r="G49" s="54">
        <f t="shared" si="17"/>
        <v>423135.3</v>
      </c>
      <c r="H49" s="53">
        <v>52.98</v>
      </c>
      <c r="I49" s="63">
        <v>200000</v>
      </c>
      <c r="J49" s="53">
        <f t="shared" si="15"/>
        <v>1100000</v>
      </c>
      <c r="K49" s="54">
        <f t="shared" ref="K49:L49" si="19">J49*6/100+J49</f>
        <v>1166000</v>
      </c>
      <c r="L49" s="53">
        <f t="shared" si="19"/>
        <v>1235960</v>
      </c>
    </row>
    <row r="50" spans="1:12" s="1" customFormat="1" ht="14.25" x14ac:dyDescent="0.2">
      <c r="A50" s="5" t="s">
        <v>879</v>
      </c>
      <c r="B50" s="7" t="s">
        <v>139</v>
      </c>
      <c r="C50" s="52">
        <v>52900</v>
      </c>
      <c r="D50" s="53">
        <v>0</v>
      </c>
      <c r="E50" s="54">
        <v>0</v>
      </c>
      <c r="F50" s="53">
        <v>0</v>
      </c>
      <c r="G50" s="54">
        <f t="shared" si="17"/>
        <v>52900</v>
      </c>
      <c r="H50" s="53">
        <v>0</v>
      </c>
      <c r="I50" s="63">
        <v>0</v>
      </c>
      <c r="J50" s="53">
        <f t="shared" si="15"/>
        <v>52900</v>
      </c>
      <c r="K50" s="54">
        <f t="shared" ref="K50:L50" si="20">J50*6/100+J50</f>
        <v>56074</v>
      </c>
      <c r="L50" s="53">
        <f t="shared" si="20"/>
        <v>59438.44</v>
      </c>
    </row>
    <row r="51" spans="1:12" s="1" customFormat="1" ht="14.25" x14ac:dyDescent="0.2">
      <c r="A51" s="5" t="s">
        <v>880</v>
      </c>
      <c r="B51" s="7" t="s">
        <v>171</v>
      </c>
      <c r="C51" s="52">
        <v>0</v>
      </c>
      <c r="D51" s="53">
        <v>0</v>
      </c>
      <c r="E51" s="54">
        <v>0</v>
      </c>
      <c r="F51" s="53">
        <v>0</v>
      </c>
      <c r="G51" s="54">
        <f t="shared" si="17"/>
        <v>0</v>
      </c>
      <c r="H51" s="53">
        <v>0</v>
      </c>
      <c r="I51" s="63">
        <v>0</v>
      </c>
      <c r="J51" s="53">
        <f t="shared" si="15"/>
        <v>0</v>
      </c>
      <c r="K51" s="54">
        <f t="shared" ref="K51:L51" si="21">J51*6/100+J51</f>
        <v>0</v>
      </c>
      <c r="L51" s="53">
        <f t="shared" si="21"/>
        <v>0</v>
      </c>
    </row>
    <row r="52" spans="1:12" s="1" customFormat="1" ht="14.25" x14ac:dyDescent="0.2">
      <c r="A52" s="5" t="s">
        <v>881</v>
      </c>
      <c r="B52" s="7" t="s">
        <v>173</v>
      </c>
      <c r="C52" s="52">
        <v>0</v>
      </c>
      <c r="D52" s="53">
        <v>0</v>
      </c>
      <c r="E52" s="54">
        <v>0</v>
      </c>
      <c r="F52" s="53">
        <v>0</v>
      </c>
      <c r="G52" s="54">
        <f t="shared" si="17"/>
        <v>0</v>
      </c>
      <c r="H52" s="53">
        <v>0</v>
      </c>
      <c r="I52" s="63">
        <v>0</v>
      </c>
      <c r="J52" s="53">
        <f t="shared" si="15"/>
        <v>0</v>
      </c>
      <c r="K52" s="54">
        <f t="shared" ref="K52:L52" si="22">J52*6/100+J52</f>
        <v>0</v>
      </c>
      <c r="L52" s="53">
        <f t="shared" si="22"/>
        <v>0</v>
      </c>
    </row>
    <row r="53" spans="1:12" s="1" customFormat="1" ht="14.25" x14ac:dyDescent="0.2">
      <c r="A53" s="5" t="s">
        <v>882</v>
      </c>
      <c r="B53" s="7" t="s">
        <v>175</v>
      </c>
      <c r="C53" s="52">
        <v>70000</v>
      </c>
      <c r="D53" s="53">
        <v>0</v>
      </c>
      <c r="E53" s="54">
        <v>0</v>
      </c>
      <c r="F53" s="53">
        <v>0</v>
      </c>
      <c r="G53" s="54">
        <f t="shared" si="17"/>
        <v>70000</v>
      </c>
      <c r="H53" s="53">
        <v>0</v>
      </c>
      <c r="I53" s="63">
        <v>0</v>
      </c>
      <c r="J53" s="53">
        <f t="shared" si="15"/>
        <v>70000</v>
      </c>
      <c r="K53" s="54">
        <f t="shared" ref="K53:L53" si="23">J53*6/100+J53</f>
        <v>74200</v>
      </c>
      <c r="L53" s="53">
        <f t="shared" si="23"/>
        <v>78652</v>
      </c>
    </row>
    <row r="54" spans="1:12" s="1" customFormat="1" ht="14.25" x14ac:dyDescent="0.2">
      <c r="A54" s="5" t="s">
        <v>883</v>
      </c>
      <c r="B54" s="7" t="s">
        <v>187</v>
      </c>
      <c r="C54" s="52">
        <v>0</v>
      </c>
      <c r="D54" s="53">
        <v>0</v>
      </c>
      <c r="E54" s="54">
        <v>0</v>
      </c>
      <c r="F54" s="53">
        <v>0</v>
      </c>
      <c r="G54" s="54">
        <f t="shared" si="17"/>
        <v>0</v>
      </c>
      <c r="H54" s="53">
        <v>0</v>
      </c>
      <c r="I54" s="63">
        <v>0</v>
      </c>
      <c r="J54" s="53">
        <f t="shared" si="15"/>
        <v>0</v>
      </c>
      <c r="K54" s="54">
        <f t="shared" ref="K54:L54" si="24">J54*6/100+J54</f>
        <v>0</v>
      </c>
      <c r="L54" s="53">
        <f t="shared" si="24"/>
        <v>0</v>
      </c>
    </row>
    <row r="55" spans="1:12" s="258" customFormat="1" ht="14.25" x14ac:dyDescent="0.2">
      <c r="A55" s="253" t="s">
        <v>884</v>
      </c>
      <c r="B55" s="254" t="s">
        <v>193</v>
      </c>
      <c r="C55" s="290">
        <v>97739</v>
      </c>
      <c r="D55" s="291">
        <v>16212.81</v>
      </c>
      <c r="E55" s="292">
        <v>3910.09</v>
      </c>
      <c r="F55" s="291">
        <v>59292.06</v>
      </c>
      <c r="G55" s="292">
        <f t="shared" si="17"/>
        <v>34536.850000000006</v>
      </c>
      <c r="H55" s="291">
        <v>60.66</v>
      </c>
      <c r="I55" s="293">
        <v>32260</v>
      </c>
      <c r="J55" s="291">
        <f t="shared" si="15"/>
        <v>129999</v>
      </c>
      <c r="K55" s="292">
        <f t="shared" ref="K55:L55" si="25">J55*6/100+J55</f>
        <v>137798.94</v>
      </c>
      <c r="L55" s="291">
        <f t="shared" si="25"/>
        <v>146066.87640000001</v>
      </c>
    </row>
    <row r="56" spans="1:12" s="1" customFormat="1" ht="14.25" x14ac:dyDescent="0.2">
      <c r="A56" s="5" t="s">
        <v>885</v>
      </c>
      <c r="B56" s="7" t="s">
        <v>195</v>
      </c>
      <c r="C56" s="52">
        <v>84640</v>
      </c>
      <c r="D56" s="53">
        <v>0</v>
      </c>
      <c r="E56" s="54">
        <v>0</v>
      </c>
      <c r="F56" s="53">
        <v>16500</v>
      </c>
      <c r="G56" s="54">
        <f t="shared" si="17"/>
        <v>68140</v>
      </c>
      <c r="H56" s="53">
        <v>19.489999999999998</v>
      </c>
      <c r="I56" s="63">
        <v>0</v>
      </c>
      <c r="J56" s="53">
        <f t="shared" si="15"/>
        <v>84640</v>
      </c>
      <c r="K56" s="54">
        <f t="shared" ref="K56:L56" si="26">J56*6/100+J56</f>
        <v>89718.399999999994</v>
      </c>
      <c r="L56" s="53">
        <f t="shared" si="26"/>
        <v>95101.503999999986</v>
      </c>
    </row>
    <row r="57" spans="1:12" s="1" customFormat="1" ht="14.25" x14ac:dyDescent="0.2">
      <c r="A57" s="5" t="s">
        <v>886</v>
      </c>
      <c r="B57" s="7" t="s">
        <v>205</v>
      </c>
      <c r="C57" s="52">
        <v>264500</v>
      </c>
      <c r="D57" s="53">
        <v>0</v>
      </c>
      <c r="E57" s="54">
        <v>0</v>
      </c>
      <c r="F57" s="53">
        <v>0</v>
      </c>
      <c r="G57" s="54">
        <f t="shared" si="17"/>
        <v>264500</v>
      </c>
      <c r="H57" s="53">
        <v>0</v>
      </c>
      <c r="I57" s="63">
        <v>0</v>
      </c>
      <c r="J57" s="53">
        <f t="shared" si="15"/>
        <v>264500</v>
      </c>
      <c r="K57" s="54">
        <f t="shared" ref="K57:L57" si="27">J57*6/100+J57</f>
        <v>280370</v>
      </c>
      <c r="L57" s="53">
        <f t="shared" si="27"/>
        <v>297192.2</v>
      </c>
    </row>
    <row r="58" spans="1:12" s="1" customFormat="1" ht="14.25" x14ac:dyDescent="0.2">
      <c r="A58" s="5" t="s">
        <v>887</v>
      </c>
      <c r="B58" s="7" t="s">
        <v>217</v>
      </c>
      <c r="C58" s="52">
        <v>2000</v>
      </c>
      <c r="D58" s="53">
        <v>0</v>
      </c>
      <c r="E58" s="54">
        <v>0</v>
      </c>
      <c r="F58" s="53">
        <v>0</v>
      </c>
      <c r="G58" s="54">
        <f t="shared" si="17"/>
        <v>2000</v>
      </c>
      <c r="H58" s="53">
        <v>0</v>
      </c>
      <c r="I58" s="63">
        <v>0</v>
      </c>
      <c r="J58" s="53">
        <f t="shared" si="15"/>
        <v>2000</v>
      </c>
      <c r="K58" s="54">
        <f t="shared" ref="K58:L58" si="28">J58*6/100+J58</f>
        <v>2120</v>
      </c>
      <c r="L58" s="53">
        <f t="shared" si="28"/>
        <v>2247.1999999999998</v>
      </c>
    </row>
    <row r="59" spans="1:12" s="1" customFormat="1" ht="14.25" x14ac:dyDescent="0.2">
      <c r="A59" s="5" t="s">
        <v>888</v>
      </c>
      <c r="B59" s="7" t="s">
        <v>218</v>
      </c>
      <c r="C59" s="52">
        <v>0</v>
      </c>
      <c r="D59" s="53">
        <v>0</v>
      </c>
      <c r="E59" s="54">
        <v>0</v>
      </c>
      <c r="F59" s="53">
        <v>0</v>
      </c>
      <c r="G59" s="54">
        <f t="shared" si="17"/>
        <v>0</v>
      </c>
      <c r="H59" s="53">
        <v>0</v>
      </c>
      <c r="I59" s="63">
        <v>0</v>
      </c>
      <c r="J59" s="53">
        <f t="shared" si="15"/>
        <v>0</v>
      </c>
      <c r="K59" s="54">
        <f t="shared" ref="K59:L59" si="29">J59*6/100+J59</f>
        <v>0</v>
      </c>
      <c r="L59" s="53">
        <f t="shared" si="29"/>
        <v>0</v>
      </c>
    </row>
    <row r="60" spans="1:12" s="1" customFormat="1" ht="14.25" x14ac:dyDescent="0.2">
      <c r="A60" s="5" t="s">
        <v>889</v>
      </c>
      <c r="B60" s="7" t="s">
        <v>243</v>
      </c>
      <c r="C60" s="52">
        <v>0</v>
      </c>
      <c r="D60" s="53">
        <v>0</v>
      </c>
      <c r="E60" s="54">
        <v>0</v>
      </c>
      <c r="F60" s="53">
        <v>0</v>
      </c>
      <c r="G60" s="54">
        <f t="shared" si="17"/>
        <v>0</v>
      </c>
      <c r="H60" s="53">
        <v>0</v>
      </c>
      <c r="I60" s="63">
        <v>0</v>
      </c>
      <c r="J60" s="53">
        <f t="shared" si="15"/>
        <v>0</v>
      </c>
      <c r="K60" s="54">
        <f t="shared" ref="K60:L60" si="30">J60*6/100+J60</f>
        <v>0</v>
      </c>
      <c r="L60" s="53">
        <f t="shared" si="30"/>
        <v>0</v>
      </c>
    </row>
    <row r="61" spans="1:12" s="1" customFormat="1" ht="14.25" x14ac:dyDescent="0.2">
      <c r="A61" s="5" t="s">
        <v>890</v>
      </c>
      <c r="B61" s="7" t="s">
        <v>248</v>
      </c>
      <c r="C61" s="52">
        <v>0</v>
      </c>
      <c r="D61" s="53">
        <v>0</v>
      </c>
      <c r="E61" s="54">
        <v>0</v>
      </c>
      <c r="F61" s="53">
        <v>0</v>
      </c>
      <c r="G61" s="54">
        <f t="shared" si="17"/>
        <v>0</v>
      </c>
      <c r="H61" s="53">
        <v>0</v>
      </c>
      <c r="I61" s="63">
        <v>0</v>
      </c>
      <c r="J61" s="53">
        <f t="shared" si="15"/>
        <v>0</v>
      </c>
      <c r="K61" s="54">
        <f t="shared" ref="K61:L61" si="31">J61*6/100+J61</f>
        <v>0</v>
      </c>
      <c r="L61" s="53">
        <f t="shared" si="31"/>
        <v>0</v>
      </c>
    </row>
    <row r="62" spans="1:12" s="1" customFormat="1" ht="14.25" x14ac:dyDescent="0.2">
      <c r="A62" s="5" t="s">
        <v>891</v>
      </c>
      <c r="B62" s="7" t="s">
        <v>254</v>
      </c>
      <c r="C62" s="52">
        <v>0</v>
      </c>
      <c r="D62" s="53">
        <v>0</v>
      </c>
      <c r="E62" s="54">
        <v>0</v>
      </c>
      <c r="F62" s="53">
        <v>0</v>
      </c>
      <c r="G62" s="54">
        <f t="shared" si="17"/>
        <v>0</v>
      </c>
      <c r="H62" s="53">
        <v>0</v>
      </c>
      <c r="I62" s="63">
        <v>0</v>
      </c>
      <c r="J62" s="53">
        <f t="shared" si="15"/>
        <v>0</v>
      </c>
      <c r="K62" s="54">
        <f t="shared" ref="K62:L62" si="32">J62*6/100+J62</f>
        <v>0</v>
      </c>
      <c r="L62" s="53">
        <f t="shared" si="32"/>
        <v>0</v>
      </c>
    </row>
    <row r="63" spans="1:12" s="1" customFormat="1" ht="14.25" x14ac:dyDescent="0.2">
      <c r="A63" s="5" t="s">
        <v>892</v>
      </c>
      <c r="B63" s="7" t="s">
        <v>262</v>
      </c>
      <c r="C63" s="52">
        <v>15000</v>
      </c>
      <c r="D63" s="53">
        <v>0</v>
      </c>
      <c r="E63" s="54">
        <v>0</v>
      </c>
      <c r="F63" s="53">
        <v>0</v>
      </c>
      <c r="G63" s="54">
        <f t="shared" si="17"/>
        <v>15000</v>
      </c>
      <c r="H63" s="53">
        <v>0</v>
      </c>
      <c r="I63" s="63">
        <v>0</v>
      </c>
      <c r="J63" s="53">
        <f t="shared" si="15"/>
        <v>15000</v>
      </c>
      <c r="K63" s="54">
        <f t="shared" ref="K63:L63" si="33">J63*6/100+J63</f>
        <v>15900</v>
      </c>
      <c r="L63" s="53">
        <f t="shared" si="33"/>
        <v>16854</v>
      </c>
    </row>
    <row r="64" spans="1:12" s="1" customFormat="1" ht="14.25" x14ac:dyDescent="0.2">
      <c r="A64" s="5"/>
      <c r="B64" s="7"/>
      <c r="C64" s="52"/>
      <c r="D64" s="53"/>
      <c r="E64" s="54"/>
      <c r="F64" s="53"/>
      <c r="G64" s="54"/>
      <c r="H64" s="53"/>
      <c r="I64" s="63"/>
      <c r="J64" s="53"/>
      <c r="K64" s="54"/>
      <c r="L64" s="53"/>
    </row>
    <row r="65" spans="1:12" s="3" customFormat="1" x14ac:dyDescent="0.25">
      <c r="A65" s="18"/>
      <c r="B65" s="19" t="s">
        <v>287</v>
      </c>
      <c r="C65" s="49">
        <f>SUM(C47:C64)</f>
        <v>1515892</v>
      </c>
      <c r="D65" s="55">
        <f t="shared" ref="D65:G65" si="34">SUM(D47:D64)</f>
        <v>101323.37</v>
      </c>
      <c r="E65" s="49">
        <f t="shared" si="34"/>
        <v>6140.09</v>
      </c>
      <c r="F65" s="55">
        <f t="shared" si="34"/>
        <v>560388.61</v>
      </c>
      <c r="G65" s="49">
        <f t="shared" si="34"/>
        <v>949363.29999999993</v>
      </c>
      <c r="H65" s="50">
        <v>36.96</v>
      </c>
      <c r="I65" s="64">
        <f t="shared" ref="I65:L65" si="35">SUM(I47:I64)</f>
        <v>232260</v>
      </c>
      <c r="J65" s="55">
        <f t="shared" si="35"/>
        <v>1748152</v>
      </c>
      <c r="K65" s="49">
        <f t="shared" si="35"/>
        <v>1853041.1199999999</v>
      </c>
      <c r="L65" s="55">
        <f t="shared" si="35"/>
        <v>1964223.5871999997</v>
      </c>
    </row>
    <row r="66" spans="1:12" s="1" customFormat="1" ht="14.25" x14ac:dyDescent="0.2">
      <c r="A66" s="5"/>
      <c r="B66" s="7"/>
      <c r="C66" s="52"/>
      <c r="D66" s="53"/>
      <c r="E66" s="54"/>
      <c r="F66" s="53"/>
      <c r="G66" s="54"/>
      <c r="H66" s="53"/>
      <c r="I66" s="63"/>
      <c r="J66" s="53"/>
      <c r="K66" s="54"/>
      <c r="L66" s="53"/>
    </row>
    <row r="67" spans="1:12" s="3" customFormat="1" x14ac:dyDescent="0.25">
      <c r="A67" s="18"/>
      <c r="B67" s="19" t="s">
        <v>292</v>
      </c>
      <c r="C67" s="49">
        <f>C65</f>
        <v>1515892</v>
      </c>
      <c r="D67" s="55">
        <f t="shared" ref="D67:L67" si="36">D65</f>
        <v>101323.37</v>
      </c>
      <c r="E67" s="49">
        <f t="shared" si="36"/>
        <v>6140.09</v>
      </c>
      <c r="F67" s="55">
        <f t="shared" si="36"/>
        <v>560388.61</v>
      </c>
      <c r="G67" s="49">
        <f t="shared" si="36"/>
        <v>949363.29999999993</v>
      </c>
      <c r="H67" s="50">
        <v>36.96</v>
      </c>
      <c r="I67" s="64">
        <f t="shared" si="36"/>
        <v>232260</v>
      </c>
      <c r="J67" s="55">
        <f t="shared" si="36"/>
        <v>1748152</v>
      </c>
      <c r="K67" s="49">
        <f t="shared" si="36"/>
        <v>1853041.1199999999</v>
      </c>
      <c r="L67" s="55">
        <f t="shared" si="36"/>
        <v>1964223.5871999997</v>
      </c>
    </row>
    <row r="68" spans="1:12" s="3" customFormat="1" x14ac:dyDescent="0.25">
      <c r="A68" s="18"/>
      <c r="B68" s="19"/>
      <c r="C68" s="49"/>
      <c r="D68" s="50"/>
      <c r="E68" s="51"/>
      <c r="F68" s="50"/>
      <c r="G68" s="51"/>
      <c r="H68" s="50"/>
      <c r="I68" s="62"/>
      <c r="J68" s="50"/>
      <c r="K68" s="51"/>
      <c r="L68" s="50"/>
    </row>
    <row r="69" spans="1:12" s="3" customFormat="1" x14ac:dyDescent="0.25">
      <c r="A69" s="18"/>
      <c r="B69" s="19" t="s">
        <v>1009</v>
      </c>
      <c r="C69" s="49"/>
      <c r="D69" s="50"/>
      <c r="E69" s="51"/>
      <c r="F69" s="50"/>
      <c r="G69" s="51"/>
      <c r="H69" s="50"/>
      <c r="I69" s="62"/>
      <c r="J69" s="50"/>
      <c r="K69" s="51"/>
      <c r="L69" s="50"/>
    </row>
    <row r="70" spans="1:12" s="3" customFormat="1" x14ac:dyDescent="0.25">
      <c r="A70" s="18"/>
      <c r="B70" s="19"/>
      <c r="C70" s="49"/>
      <c r="D70" s="50"/>
      <c r="E70" s="51"/>
      <c r="F70" s="50"/>
      <c r="G70" s="51"/>
      <c r="H70" s="50"/>
      <c r="I70" s="62"/>
      <c r="J70" s="50"/>
      <c r="K70" s="51"/>
      <c r="L70" s="50"/>
    </row>
    <row r="71" spans="1:12" s="1" customFormat="1" ht="14.25" x14ac:dyDescent="0.2">
      <c r="A71" s="5" t="s">
        <v>893</v>
      </c>
      <c r="B71" s="7" t="s">
        <v>296</v>
      </c>
      <c r="C71" s="52">
        <v>0</v>
      </c>
      <c r="D71" s="53">
        <v>0</v>
      </c>
      <c r="E71" s="54">
        <v>0</v>
      </c>
      <c r="F71" s="53">
        <v>0</v>
      </c>
      <c r="G71" s="54">
        <f t="shared" ref="G71:G74" si="37">C71-E71-F71</f>
        <v>0</v>
      </c>
      <c r="H71" s="53">
        <v>0</v>
      </c>
      <c r="I71" s="63">
        <v>0</v>
      </c>
      <c r="J71" s="53">
        <f t="shared" ref="J71:J74" si="38">C71+I71</f>
        <v>0</v>
      </c>
      <c r="K71" s="54"/>
      <c r="L71" s="53"/>
    </row>
    <row r="72" spans="1:12" s="1" customFormat="1" ht="14.25" x14ac:dyDescent="0.2">
      <c r="A72" s="5" t="s">
        <v>894</v>
      </c>
      <c r="B72" s="7" t="s">
        <v>895</v>
      </c>
      <c r="C72" s="52">
        <v>500000</v>
      </c>
      <c r="D72" s="53">
        <v>0</v>
      </c>
      <c r="E72" s="54">
        <v>0</v>
      </c>
      <c r="F72" s="53">
        <v>0</v>
      </c>
      <c r="G72" s="54">
        <f t="shared" si="37"/>
        <v>500000</v>
      </c>
      <c r="H72" s="53">
        <v>0</v>
      </c>
      <c r="I72" s="63">
        <v>0</v>
      </c>
      <c r="J72" s="53">
        <f t="shared" si="38"/>
        <v>500000</v>
      </c>
      <c r="K72" s="54">
        <v>0</v>
      </c>
      <c r="L72" s="53">
        <v>0</v>
      </c>
    </row>
    <row r="73" spans="1:12" s="1" customFormat="1" ht="14.25" x14ac:dyDescent="0.2">
      <c r="A73" s="5" t="s">
        <v>896</v>
      </c>
      <c r="B73" s="7" t="s">
        <v>897</v>
      </c>
      <c r="C73" s="52">
        <v>1000000</v>
      </c>
      <c r="D73" s="53">
        <v>0</v>
      </c>
      <c r="E73" s="54">
        <v>0</v>
      </c>
      <c r="F73" s="53">
        <v>425316.45</v>
      </c>
      <c r="G73" s="54">
        <f t="shared" si="37"/>
        <v>574683.55000000005</v>
      </c>
      <c r="H73" s="53">
        <v>42.53</v>
      </c>
      <c r="I73" s="63">
        <v>1352000</v>
      </c>
      <c r="J73" s="53">
        <f t="shared" si="38"/>
        <v>2352000</v>
      </c>
      <c r="K73" s="54">
        <f t="shared" ref="K73:L73" si="39">J73*6/100+J73</f>
        <v>2493120</v>
      </c>
      <c r="L73" s="53">
        <f t="shared" si="39"/>
        <v>2642707.2000000002</v>
      </c>
    </row>
    <row r="74" spans="1:12" s="1" customFormat="1" ht="14.25" x14ac:dyDescent="0.2">
      <c r="A74" s="5" t="s">
        <v>898</v>
      </c>
      <c r="B74" s="7" t="s">
        <v>317</v>
      </c>
      <c r="C74" s="52">
        <v>1500000</v>
      </c>
      <c r="D74" s="53">
        <v>36228.559999999998</v>
      </c>
      <c r="E74" s="54">
        <v>131517.69</v>
      </c>
      <c r="F74" s="53">
        <v>514094.43</v>
      </c>
      <c r="G74" s="54">
        <f t="shared" si="37"/>
        <v>854387.88000000012</v>
      </c>
      <c r="H74" s="53">
        <v>34.270000000000003</v>
      </c>
      <c r="I74" s="63">
        <v>200000</v>
      </c>
      <c r="J74" s="53">
        <f t="shared" si="38"/>
        <v>1700000</v>
      </c>
      <c r="K74" s="54">
        <f t="shared" ref="K74:L74" si="40">J74*6/100+J74</f>
        <v>1802000</v>
      </c>
      <c r="L74" s="53">
        <f t="shared" si="40"/>
        <v>1910120</v>
      </c>
    </row>
    <row r="75" spans="1:12" s="1" customFormat="1" ht="14.25" x14ac:dyDescent="0.2">
      <c r="A75" s="5"/>
      <c r="B75" s="7"/>
      <c r="C75" s="52"/>
      <c r="D75" s="53"/>
      <c r="E75" s="54"/>
      <c r="F75" s="53"/>
      <c r="G75" s="54"/>
      <c r="H75" s="53"/>
      <c r="I75" s="63"/>
      <c r="J75" s="53"/>
      <c r="K75" s="54"/>
      <c r="L75" s="53"/>
    </row>
    <row r="76" spans="1:12" s="3" customFormat="1" x14ac:dyDescent="0.25">
      <c r="A76" s="18"/>
      <c r="B76" s="19" t="s">
        <v>1003</v>
      </c>
      <c r="C76" s="49">
        <f>SUM(C71:C75)</f>
        <v>3000000</v>
      </c>
      <c r="D76" s="55">
        <f t="shared" ref="D76:G76" si="41">SUM(D71:D75)</f>
        <v>36228.559999999998</v>
      </c>
      <c r="E76" s="49">
        <f t="shared" si="41"/>
        <v>131517.69</v>
      </c>
      <c r="F76" s="55">
        <f t="shared" si="41"/>
        <v>939410.88</v>
      </c>
      <c r="G76" s="49">
        <f t="shared" si="41"/>
        <v>1929071.4300000002</v>
      </c>
      <c r="H76" s="50">
        <v>31.31</v>
      </c>
      <c r="I76" s="64">
        <f t="shared" ref="I76:L76" si="42">SUM(I71:I75)</f>
        <v>1552000</v>
      </c>
      <c r="J76" s="55">
        <f t="shared" si="42"/>
        <v>4552000</v>
      </c>
      <c r="K76" s="49">
        <f t="shared" si="42"/>
        <v>4295120</v>
      </c>
      <c r="L76" s="55">
        <f t="shared" si="42"/>
        <v>4552827.2</v>
      </c>
    </row>
    <row r="77" spans="1:12" s="3" customFormat="1" x14ac:dyDescent="0.25">
      <c r="A77" s="18"/>
      <c r="B77" s="19"/>
      <c r="C77" s="49"/>
      <c r="D77" s="50"/>
      <c r="E77" s="51"/>
      <c r="F77" s="50"/>
      <c r="G77" s="51"/>
      <c r="H77" s="50"/>
      <c r="I77" s="62"/>
      <c r="J77" s="50"/>
      <c r="K77" s="51"/>
      <c r="L77" s="50"/>
    </row>
    <row r="78" spans="1:12" s="3" customFormat="1" x14ac:dyDescent="0.25">
      <c r="A78" s="18"/>
      <c r="B78" s="19" t="s">
        <v>324</v>
      </c>
      <c r="C78" s="49"/>
      <c r="D78" s="50"/>
      <c r="E78" s="51"/>
      <c r="F78" s="50"/>
      <c r="G78" s="51"/>
      <c r="H78" s="50"/>
      <c r="I78" s="62"/>
      <c r="J78" s="50"/>
      <c r="K78" s="51"/>
      <c r="L78" s="50"/>
    </row>
    <row r="79" spans="1:12" s="3" customFormat="1" x14ac:dyDescent="0.25">
      <c r="A79" s="18"/>
      <c r="B79" s="19"/>
      <c r="C79" s="49"/>
      <c r="D79" s="50"/>
      <c r="E79" s="51"/>
      <c r="F79" s="50"/>
      <c r="G79" s="51"/>
      <c r="H79" s="50"/>
      <c r="I79" s="62"/>
      <c r="J79" s="50"/>
      <c r="K79" s="51"/>
      <c r="L79" s="50"/>
    </row>
    <row r="80" spans="1:12" s="1" customFormat="1" ht="14.25" x14ac:dyDescent="0.2">
      <c r="A80" s="5" t="s">
        <v>899</v>
      </c>
      <c r="B80" s="7" t="s">
        <v>900</v>
      </c>
      <c r="C80" s="52">
        <v>0</v>
      </c>
      <c r="D80" s="53">
        <v>174.11</v>
      </c>
      <c r="E80" s="54">
        <v>0</v>
      </c>
      <c r="F80" s="53">
        <v>1044.6600000000001</v>
      </c>
      <c r="G80" s="54">
        <v>-1044.6600000000001</v>
      </c>
      <c r="H80" s="53">
        <v>0</v>
      </c>
      <c r="I80" s="63">
        <v>0</v>
      </c>
      <c r="J80" s="53">
        <f t="shared" ref="J80:J85" si="43">C80+I80</f>
        <v>0</v>
      </c>
      <c r="K80" s="54"/>
      <c r="L80" s="53"/>
    </row>
    <row r="81" spans="1:12" s="1" customFormat="1" ht="14.25" x14ac:dyDescent="0.2">
      <c r="A81" s="5" t="s">
        <v>901</v>
      </c>
      <c r="B81" s="7" t="s">
        <v>328</v>
      </c>
      <c r="C81" s="52">
        <v>0</v>
      </c>
      <c r="D81" s="53">
        <v>0</v>
      </c>
      <c r="E81" s="54">
        <v>0</v>
      </c>
      <c r="F81" s="53">
        <v>0</v>
      </c>
      <c r="G81" s="54">
        <v>0</v>
      </c>
      <c r="H81" s="53">
        <v>0</v>
      </c>
      <c r="I81" s="63">
        <v>0</v>
      </c>
      <c r="J81" s="53">
        <f t="shared" si="43"/>
        <v>0</v>
      </c>
      <c r="K81" s="54"/>
      <c r="L81" s="53"/>
    </row>
    <row r="82" spans="1:12" s="1" customFormat="1" ht="14.25" x14ac:dyDescent="0.2">
      <c r="A82" s="5" t="s">
        <v>902</v>
      </c>
      <c r="B82" s="7" t="s">
        <v>330</v>
      </c>
      <c r="C82" s="52">
        <v>0</v>
      </c>
      <c r="D82" s="53">
        <v>0</v>
      </c>
      <c r="E82" s="54">
        <v>0</v>
      </c>
      <c r="F82" s="53">
        <v>0</v>
      </c>
      <c r="G82" s="54">
        <v>0</v>
      </c>
      <c r="H82" s="53">
        <v>0</v>
      </c>
      <c r="I82" s="63">
        <v>0</v>
      </c>
      <c r="J82" s="53">
        <f t="shared" si="43"/>
        <v>0</v>
      </c>
      <c r="K82" s="54"/>
      <c r="L82" s="53"/>
    </row>
    <row r="83" spans="1:12" s="1" customFormat="1" ht="14.25" x14ac:dyDescent="0.2">
      <c r="A83" s="5" t="s">
        <v>903</v>
      </c>
      <c r="B83" s="7" t="s">
        <v>331</v>
      </c>
      <c r="C83" s="52">
        <v>0</v>
      </c>
      <c r="D83" s="53">
        <v>0</v>
      </c>
      <c r="E83" s="54">
        <v>0</v>
      </c>
      <c r="F83" s="53">
        <v>0</v>
      </c>
      <c r="G83" s="54">
        <v>0</v>
      </c>
      <c r="H83" s="53">
        <v>0</v>
      </c>
      <c r="I83" s="63">
        <v>0</v>
      </c>
      <c r="J83" s="53">
        <f t="shared" si="43"/>
        <v>0</v>
      </c>
      <c r="K83" s="54"/>
      <c r="L83" s="53"/>
    </row>
    <row r="84" spans="1:12" s="1" customFormat="1" ht="14.25" x14ac:dyDescent="0.2">
      <c r="A84" s="5" t="s">
        <v>904</v>
      </c>
      <c r="B84" s="7" t="s">
        <v>333</v>
      </c>
      <c r="C84" s="52">
        <v>0</v>
      </c>
      <c r="D84" s="53">
        <v>1161.8800000000001</v>
      </c>
      <c r="E84" s="54">
        <v>0</v>
      </c>
      <c r="F84" s="53">
        <v>5825.44</v>
      </c>
      <c r="G84" s="54">
        <v>-5825.44</v>
      </c>
      <c r="H84" s="53">
        <v>0</v>
      </c>
      <c r="I84" s="63">
        <v>0</v>
      </c>
      <c r="J84" s="53">
        <f t="shared" si="43"/>
        <v>0</v>
      </c>
      <c r="K84" s="54"/>
      <c r="L84" s="53"/>
    </row>
    <row r="85" spans="1:12" s="1" customFormat="1" ht="14.25" x14ac:dyDescent="0.2">
      <c r="A85" s="5"/>
      <c r="B85" s="7"/>
      <c r="C85" s="52"/>
      <c r="D85" s="53"/>
      <c r="E85" s="54"/>
      <c r="F85" s="53"/>
      <c r="G85" s="54"/>
      <c r="H85" s="53"/>
      <c r="I85" s="63"/>
      <c r="J85" s="53">
        <f t="shared" si="43"/>
        <v>0</v>
      </c>
      <c r="K85" s="54"/>
      <c r="L85" s="53"/>
    </row>
    <row r="86" spans="1:12" s="3" customFormat="1" x14ac:dyDescent="0.25">
      <c r="A86" s="18"/>
      <c r="B86" s="19" t="s">
        <v>334</v>
      </c>
      <c r="C86" s="49">
        <f>SUM(C80:C85)</f>
        <v>0</v>
      </c>
      <c r="D86" s="55">
        <f t="shared" ref="D86:G86" si="44">SUM(D80:D85)</f>
        <v>1335.9900000000002</v>
      </c>
      <c r="E86" s="49">
        <f t="shared" si="44"/>
        <v>0</v>
      </c>
      <c r="F86" s="55">
        <f t="shared" si="44"/>
        <v>6870.0999999999995</v>
      </c>
      <c r="G86" s="49">
        <f t="shared" si="44"/>
        <v>-6870.0999999999995</v>
      </c>
      <c r="H86" s="50">
        <v>0</v>
      </c>
      <c r="I86" s="64">
        <f t="shared" ref="I86:L86" si="45">SUM(I80:I85)</f>
        <v>0</v>
      </c>
      <c r="J86" s="55">
        <f t="shared" si="45"/>
        <v>0</v>
      </c>
      <c r="K86" s="49">
        <f t="shared" si="45"/>
        <v>0</v>
      </c>
      <c r="L86" s="55">
        <f t="shared" si="45"/>
        <v>0</v>
      </c>
    </row>
    <row r="87" spans="1:12" s="3" customFormat="1" x14ac:dyDescent="0.25">
      <c r="A87" s="18"/>
      <c r="B87" s="19"/>
      <c r="C87" s="49"/>
      <c r="D87" s="50"/>
      <c r="E87" s="51"/>
      <c r="F87" s="50"/>
      <c r="G87" s="51"/>
      <c r="H87" s="50"/>
      <c r="I87" s="62"/>
      <c r="J87" s="50"/>
      <c r="K87" s="51"/>
      <c r="L87" s="50"/>
    </row>
    <row r="88" spans="1:12" s="3" customFormat="1" x14ac:dyDescent="0.25">
      <c r="A88" s="18"/>
      <c r="B88" s="19" t="s">
        <v>338</v>
      </c>
      <c r="C88" s="49">
        <f>C41+C67+C76+C86</f>
        <v>8601761</v>
      </c>
      <c r="D88" s="55">
        <f t="shared" ref="D88:L88" si="46">D41+D67+D76+D86</f>
        <v>483552.31</v>
      </c>
      <c r="E88" s="49">
        <f t="shared" si="46"/>
        <v>142290.253</v>
      </c>
      <c r="F88" s="55">
        <f t="shared" si="46"/>
        <v>3569399.75</v>
      </c>
      <c r="G88" s="49">
        <f t="shared" si="46"/>
        <v>4890070.9969999995</v>
      </c>
      <c r="H88" s="50">
        <v>41.49</v>
      </c>
      <c r="I88" s="64">
        <f t="shared" si="46"/>
        <v>1921133.6</v>
      </c>
      <c r="J88" s="55">
        <f t="shared" si="46"/>
        <v>10522894.6</v>
      </c>
      <c r="K88" s="49">
        <f t="shared" si="46"/>
        <v>10571268.276000001</v>
      </c>
      <c r="L88" s="55">
        <f t="shared" si="46"/>
        <v>11205544.37256</v>
      </c>
    </row>
    <row r="89" spans="1:12" s="1" customFormat="1" ht="14.25" x14ac:dyDescent="0.2">
      <c r="A89" s="5"/>
      <c r="B89" s="7"/>
      <c r="C89" s="52"/>
      <c r="D89" s="53"/>
      <c r="E89" s="54"/>
      <c r="F89" s="53"/>
      <c r="G89" s="54"/>
      <c r="H89" s="53"/>
      <c r="I89" s="63"/>
      <c r="J89" s="53"/>
      <c r="K89" s="54"/>
      <c r="L89" s="53"/>
    </row>
    <row r="90" spans="1:12" s="3" customFormat="1" x14ac:dyDescent="0.25">
      <c r="A90" s="18"/>
      <c r="B90" s="19" t="s">
        <v>339</v>
      </c>
      <c r="C90" s="49">
        <f>C88</f>
        <v>8601761</v>
      </c>
      <c r="D90" s="55">
        <f t="shared" ref="D90:L90" si="47">D88</f>
        <v>483552.31</v>
      </c>
      <c r="E90" s="49">
        <f t="shared" si="47"/>
        <v>142290.253</v>
      </c>
      <c r="F90" s="55">
        <f t="shared" si="47"/>
        <v>3569399.75</v>
      </c>
      <c r="G90" s="49">
        <f t="shared" si="47"/>
        <v>4890070.9969999995</v>
      </c>
      <c r="H90" s="50">
        <v>41.49</v>
      </c>
      <c r="I90" s="64">
        <f t="shared" si="47"/>
        <v>1921133.6</v>
      </c>
      <c r="J90" s="55">
        <f t="shared" si="47"/>
        <v>10522894.6</v>
      </c>
      <c r="K90" s="49">
        <f t="shared" si="47"/>
        <v>10571268.276000001</v>
      </c>
      <c r="L90" s="55">
        <f t="shared" si="47"/>
        <v>11205544.37256</v>
      </c>
    </row>
    <row r="91" spans="1:12" s="3" customFormat="1" x14ac:dyDescent="0.25">
      <c r="A91" s="18"/>
      <c r="B91" s="19"/>
      <c r="C91" s="49"/>
      <c r="D91" s="50"/>
      <c r="E91" s="51"/>
      <c r="F91" s="50"/>
      <c r="G91" s="51"/>
      <c r="H91" s="50"/>
      <c r="I91" s="62"/>
      <c r="J91" s="50"/>
      <c r="K91" s="51"/>
      <c r="L91" s="50"/>
    </row>
    <row r="92" spans="1:12" s="3" customFormat="1" x14ac:dyDescent="0.25">
      <c r="A92" s="18"/>
      <c r="B92" s="19" t="s">
        <v>340</v>
      </c>
      <c r="C92" s="49"/>
      <c r="D92" s="50"/>
      <c r="E92" s="51"/>
      <c r="F92" s="50"/>
      <c r="G92" s="51"/>
      <c r="H92" s="50"/>
      <c r="I92" s="62"/>
      <c r="J92" s="50"/>
      <c r="K92" s="51"/>
      <c r="L92" s="50"/>
    </row>
    <row r="93" spans="1:12" s="3" customFormat="1" x14ac:dyDescent="0.25">
      <c r="A93" s="18"/>
      <c r="B93" s="19"/>
      <c r="C93" s="49"/>
      <c r="D93" s="50"/>
      <c r="E93" s="51"/>
      <c r="F93" s="50"/>
      <c r="G93" s="51"/>
      <c r="H93" s="50"/>
      <c r="I93" s="62"/>
      <c r="J93" s="50"/>
      <c r="K93" s="51"/>
      <c r="L93" s="50"/>
    </row>
    <row r="94" spans="1:12" s="3" customFormat="1" x14ac:dyDescent="0.25">
      <c r="A94" s="18"/>
      <c r="B94" s="19" t="s">
        <v>361</v>
      </c>
      <c r="C94" s="49"/>
      <c r="D94" s="50"/>
      <c r="E94" s="51"/>
      <c r="F94" s="50"/>
      <c r="G94" s="51"/>
      <c r="H94" s="50"/>
      <c r="I94" s="62"/>
      <c r="J94" s="50"/>
      <c r="K94" s="51"/>
      <c r="L94" s="50"/>
    </row>
    <row r="95" spans="1:12" s="3" customFormat="1" x14ac:dyDescent="0.25">
      <c r="A95" s="18"/>
      <c r="B95" s="19"/>
      <c r="C95" s="49"/>
      <c r="D95" s="50"/>
      <c r="E95" s="51"/>
      <c r="F95" s="50"/>
      <c r="G95" s="51"/>
      <c r="H95" s="50"/>
      <c r="I95" s="62"/>
      <c r="J95" s="50"/>
      <c r="K95" s="51"/>
      <c r="L95" s="50"/>
    </row>
    <row r="96" spans="1:12" s="1" customFormat="1" ht="14.25" x14ac:dyDescent="0.2">
      <c r="A96" s="5" t="s">
        <v>905</v>
      </c>
      <c r="B96" s="7" t="s">
        <v>363</v>
      </c>
      <c r="C96" s="52">
        <v>-30017000</v>
      </c>
      <c r="D96" s="53">
        <v>-10808096.710000001</v>
      </c>
      <c r="E96" s="54">
        <v>0</v>
      </c>
      <c r="F96" s="53">
        <v>-12463964.449999999</v>
      </c>
      <c r="G96" s="54">
        <v>-17553035.550000001</v>
      </c>
      <c r="H96" s="53">
        <v>41.52</v>
      </c>
      <c r="I96" s="63">
        <v>-320857</v>
      </c>
      <c r="J96" s="53">
        <f t="shared" ref="J96:J98" si="48">C96+I96</f>
        <v>-30337857</v>
      </c>
      <c r="K96" s="54">
        <f>'[2]ALL DEPARTMENTS'!$I$1237</f>
        <v>-31097000</v>
      </c>
      <c r="L96" s="53">
        <f>'[2]ALL DEPARTMENTS'!$J$1237</f>
        <v>-32715000</v>
      </c>
    </row>
    <row r="97" spans="1:12" s="1" customFormat="1" ht="14.25" x14ac:dyDescent="0.2">
      <c r="A97" s="5" t="s">
        <v>906</v>
      </c>
      <c r="B97" s="7" t="s">
        <v>367</v>
      </c>
      <c r="C97" s="52">
        <v>-1000000</v>
      </c>
      <c r="D97" s="53">
        <v>-186310</v>
      </c>
      <c r="E97" s="54">
        <v>0</v>
      </c>
      <c r="F97" s="53">
        <v>-283830</v>
      </c>
      <c r="G97" s="54">
        <v>-716170</v>
      </c>
      <c r="H97" s="53">
        <v>28.38</v>
      </c>
      <c r="I97" s="63">
        <v>0</v>
      </c>
      <c r="J97" s="53">
        <f t="shared" si="48"/>
        <v>-1000000</v>
      </c>
      <c r="K97" s="54">
        <v>0</v>
      </c>
      <c r="L97" s="53">
        <v>0</v>
      </c>
    </row>
    <row r="98" spans="1:12" s="1" customFormat="1" ht="14.25" x14ac:dyDescent="0.2">
      <c r="A98" s="5"/>
      <c r="B98" s="7"/>
      <c r="C98" s="52"/>
      <c r="D98" s="53"/>
      <c r="E98" s="54"/>
      <c r="F98" s="53"/>
      <c r="G98" s="54"/>
      <c r="H98" s="53"/>
      <c r="I98" s="63"/>
      <c r="J98" s="53">
        <f t="shared" si="48"/>
        <v>0</v>
      </c>
      <c r="K98" s="54"/>
      <c r="L98" s="53"/>
    </row>
    <row r="99" spans="1:12" s="3" customFormat="1" x14ac:dyDescent="0.25">
      <c r="A99" s="18"/>
      <c r="B99" s="19" t="s">
        <v>368</v>
      </c>
      <c r="C99" s="49">
        <f>SUM(C96:C98)</f>
        <v>-31017000</v>
      </c>
      <c r="D99" s="55">
        <f t="shared" ref="D99:G99" si="49">SUM(D96:D98)</f>
        <v>-10994406.710000001</v>
      </c>
      <c r="E99" s="49">
        <f t="shared" si="49"/>
        <v>0</v>
      </c>
      <c r="F99" s="55">
        <f t="shared" si="49"/>
        <v>-12747794.449999999</v>
      </c>
      <c r="G99" s="49">
        <f t="shared" si="49"/>
        <v>-18269205.550000001</v>
      </c>
      <c r="H99" s="50">
        <v>41.09</v>
      </c>
      <c r="I99" s="64">
        <f t="shared" ref="I99:L99" si="50">SUM(I96:I98)</f>
        <v>-320857</v>
      </c>
      <c r="J99" s="55">
        <f t="shared" si="50"/>
        <v>-31337857</v>
      </c>
      <c r="K99" s="49">
        <f t="shared" si="50"/>
        <v>-31097000</v>
      </c>
      <c r="L99" s="55">
        <f t="shared" si="50"/>
        <v>-32715000</v>
      </c>
    </row>
    <row r="100" spans="1:12" s="3" customFormat="1" x14ac:dyDescent="0.25">
      <c r="A100" s="18"/>
      <c r="B100" s="19"/>
      <c r="C100" s="49"/>
      <c r="D100" s="50"/>
      <c r="E100" s="51"/>
      <c r="F100" s="50"/>
      <c r="G100" s="51"/>
      <c r="H100" s="50"/>
      <c r="I100" s="62"/>
      <c r="J100" s="50"/>
      <c r="K100" s="51"/>
      <c r="L100" s="50"/>
    </row>
    <row r="101" spans="1:12" s="3" customFormat="1" x14ac:dyDescent="0.25">
      <c r="A101" s="18"/>
      <c r="B101" s="19" t="s">
        <v>427</v>
      </c>
      <c r="C101" s="49">
        <f>C99</f>
        <v>-31017000</v>
      </c>
      <c r="D101" s="55">
        <f t="shared" ref="D101:L101" si="51">D99</f>
        <v>-10994406.710000001</v>
      </c>
      <c r="E101" s="49">
        <f t="shared" si="51"/>
        <v>0</v>
      </c>
      <c r="F101" s="55">
        <f t="shared" si="51"/>
        <v>-12747794.449999999</v>
      </c>
      <c r="G101" s="49">
        <f t="shared" si="51"/>
        <v>-18269205.550000001</v>
      </c>
      <c r="H101" s="50">
        <v>41.09</v>
      </c>
      <c r="I101" s="64">
        <f t="shared" si="51"/>
        <v>-320857</v>
      </c>
      <c r="J101" s="55">
        <f t="shared" si="51"/>
        <v>-31337857</v>
      </c>
      <c r="K101" s="49">
        <f t="shared" si="51"/>
        <v>-31097000</v>
      </c>
      <c r="L101" s="55">
        <f t="shared" si="51"/>
        <v>-32715000</v>
      </c>
    </row>
    <row r="102" spans="1:12" s="1" customFormat="1" ht="14.25" x14ac:dyDescent="0.2">
      <c r="A102" s="5"/>
      <c r="B102" s="7"/>
      <c r="C102" s="52"/>
      <c r="D102" s="53"/>
      <c r="E102" s="54"/>
      <c r="F102" s="53"/>
      <c r="G102" s="54"/>
      <c r="H102" s="53"/>
      <c r="I102" s="63"/>
      <c r="J102" s="53"/>
      <c r="K102" s="54"/>
      <c r="L102" s="53"/>
    </row>
    <row r="103" spans="1:12" s="3" customFormat="1" x14ac:dyDescent="0.25">
      <c r="A103" s="18"/>
      <c r="B103" s="19" t="s">
        <v>428</v>
      </c>
      <c r="C103" s="49">
        <f>C101</f>
        <v>-31017000</v>
      </c>
      <c r="D103" s="55">
        <f t="shared" ref="D103:L103" si="52">D101</f>
        <v>-10994406.710000001</v>
      </c>
      <c r="E103" s="49">
        <f t="shared" si="52"/>
        <v>0</v>
      </c>
      <c r="F103" s="55">
        <f t="shared" si="52"/>
        <v>-12747794.449999999</v>
      </c>
      <c r="G103" s="49">
        <f t="shared" si="52"/>
        <v>-18269205.550000001</v>
      </c>
      <c r="H103" s="50">
        <v>41.09</v>
      </c>
      <c r="I103" s="64">
        <f t="shared" si="52"/>
        <v>-320857</v>
      </c>
      <c r="J103" s="55">
        <f t="shared" si="52"/>
        <v>-31337857</v>
      </c>
      <c r="K103" s="49">
        <f t="shared" si="52"/>
        <v>-31097000</v>
      </c>
      <c r="L103" s="55">
        <f t="shared" si="52"/>
        <v>-32715000</v>
      </c>
    </row>
    <row r="104" spans="1:12" s="1" customFormat="1" ht="14.25" x14ac:dyDescent="0.2">
      <c r="A104" s="5"/>
      <c r="B104" s="7"/>
      <c r="C104" s="52"/>
      <c r="D104" s="53"/>
      <c r="E104" s="54"/>
      <c r="F104" s="53"/>
      <c r="G104" s="54"/>
      <c r="H104" s="53"/>
      <c r="I104" s="63"/>
      <c r="J104" s="53"/>
      <c r="K104" s="54"/>
      <c r="L104" s="53"/>
    </row>
    <row r="105" spans="1:12" s="3" customFormat="1" x14ac:dyDescent="0.25">
      <c r="A105" s="18"/>
      <c r="B105" s="19" t="s">
        <v>429</v>
      </c>
      <c r="C105" s="49">
        <f>C103</f>
        <v>-31017000</v>
      </c>
      <c r="D105" s="55">
        <f t="shared" ref="D105:L105" si="53">D103</f>
        <v>-10994406.710000001</v>
      </c>
      <c r="E105" s="49">
        <f t="shared" si="53"/>
        <v>0</v>
      </c>
      <c r="F105" s="55">
        <f t="shared" si="53"/>
        <v>-12747794.449999999</v>
      </c>
      <c r="G105" s="49">
        <f t="shared" si="53"/>
        <v>-18269205.550000001</v>
      </c>
      <c r="H105" s="50">
        <v>41.09</v>
      </c>
      <c r="I105" s="64">
        <f t="shared" si="53"/>
        <v>-320857</v>
      </c>
      <c r="J105" s="55">
        <f t="shared" si="53"/>
        <v>-31337857</v>
      </c>
      <c r="K105" s="49">
        <f t="shared" si="53"/>
        <v>-31097000</v>
      </c>
      <c r="L105" s="55">
        <f t="shared" si="53"/>
        <v>-32715000</v>
      </c>
    </row>
    <row r="106" spans="1:12" s="3" customFormat="1" x14ac:dyDescent="0.25">
      <c r="A106" s="18"/>
      <c r="B106" s="19"/>
      <c r="C106" s="49"/>
      <c r="D106" s="50"/>
      <c r="E106" s="51"/>
      <c r="F106" s="50"/>
      <c r="G106" s="51"/>
      <c r="H106" s="50"/>
      <c r="I106" s="62"/>
      <c r="J106" s="50"/>
      <c r="K106" s="51"/>
      <c r="L106" s="50"/>
    </row>
    <row r="107" spans="1:12" s="3" customFormat="1" x14ac:dyDescent="0.25">
      <c r="A107" s="18"/>
      <c r="B107" s="19" t="s">
        <v>430</v>
      </c>
      <c r="C107" s="49"/>
      <c r="D107" s="50"/>
      <c r="E107" s="51"/>
      <c r="F107" s="50"/>
      <c r="G107" s="51"/>
      <c r="H107" s="50"/>
      <c r="I107" s="62"/>
      <c r="J107" s="50"/>
      <c r="K107" s="51"/>
      <c r="L107" s="50"/>
    </row>
    <row r="108" spans="1:12" s="3" customFormat="1" x14ac:dyDescent="0.25">
      <c r="A108" s="18"/>
      <c r="B108" s="19"/>
      <c r="C108" s="49"/>
      <c r="D108" s="50"/>
      <c r="E108" s="51"/>
      <c r="F108" s="50"/>
      <c r="G108" s="51"/>
      <c r="H108" s="50"/>
      <c r="I108" s="62"/>
      <c r="J108" s="50"/>
      <c r="K108" s="51"/>
      <c r="L108" s="50"/>
    </row>
    <row r="109" spans="1:12" s="3" customFormat="1" x14ac:dyDescent="0.25">
      <c r="A109" s="18"/>
      <c r="B109" s="19" t="s">
        <v>431</v>
      </c>
      <c r="C109" s="49"/>
      <c r="D109" s="50"/>
      <c r="E109" s="51"/>
      <c r="F109" s="50"/>
      <c r="G109" s="51"/>
      <c r="H109" s="50"/>
      <c r="I109" s="62"/>
      <c r="J109" s="50"/>
      <c r="K109" s="51"/>
      <c r="L109" s="50"/>
    </row>
    <row r="110" spans="1:12" s="3" customFormat="1" x14ac:dyDescent="0.25">
      <c r="A110" s="18"/>
      <c r="B110" s="19"/>
      <c r="C110" s="49"/>
      <c r="D110" s="50"/>
      <c r="E110" s="51"/>
      <c r="F110" s="50"/>
      <c r="G110" s="51"/>
      <c r="H110" s="50"/>
      <c r="I110" s="62"/>
      <c r="J110" s="50"/>
      <c r="K110" s="51"/>
      <c r="L110" s="50"/>
    </row>
    <row r="111" spans="1:12" s="1" customFormat="1" ht="14.25" x14ac:dyDescent="0.2">
      <c r="A111" s="5" t="s">
        <v>907</v>
      </c>
      <c r="B111" s="7" t="s">
        <v>433</v>
      </c>
      <c r="C111" s="52">
        <f>C90</f>
        <v>8601761</v>
      </c>
      <c r="D111" s="56">
        <f t="shared" ref="D111:G111" si="54">D90</f>
        <v>483552.31</v>
      </c>
      <c r="E111" s="52">
        <f t="shared" si="54"/>
        <v>142290.253</v>
      </c>
      <c r="F111" s="56">
        <f t="shared" si="54"/>
        <v>3569399.75</v>
      </c>
      <c r="G111" s="52">
        <f t="shared" si="54"/>
        <v>4890070.9969999995</v>
      </c>
      <c r="H111" s="53">
        <v>41.49</v>
      </c>
      <c r="I111" s="65">
        <f>I90</f>
        <v>1921133.6</v>
      </c>
      <c r="J111" s="53">
        <f t="shared" ref="J111:J112" si="55">C111+I111</f>
        <v>10522894.6</v>
      </c>
      <c r="K111" s="65">
        <f t="shared" ref="K111:L111" si="56">K90</f>
        <v>10571268.276000001</v>
      </c>
      <c r="L111" s="65">
        <f t="shared" si="56"/>
        <v>11205544.37256</v>
      </c>
    </row>
    <row r="112" spans="1:12" s="1" customFormat="1" ht="14.25" x14ac:dyDescent="0.2">
      <c r="A112" s="5" t="s">
        <v>908</v>
      </c>
      <c r="B112" s="7" t="s">
        <v>429</v>
      </c>
      <c r="C112" s="52">
        <f>C105</f>
        <v>-31017000</v>
      </c>
      <c r="D112" s="56">
        <f t="shared" ref="D112:G112" si="57">D105</f>
        <v>-10994406.710000001</v>
      </c>
      <c r="E112" s="52">
        <f t="shared" si="57"/>
        <v>0</v>
      </c>
      <c r="F112" s="56">
        <f t="shared" si="57"/>
        <v>-12747794.449999999</v>
      </c>
      <c r="G112" s="52">
        <f t="shared" si="57"/>
        <v>-18269205.550000001</v>
      </c>
      <c r="H112" s="53">
        <v>41.09</v>
      </c>
      <c r="I112" s="65">
        <f>I105</f>
        <v>-320857</v>
      </c>
      <c r="J112" s="53">
        <f t="shared" si="55"/>
        <v>-31337857</v>
      </c>
      <c r="K112" s="65">
        <f t="shared" ref="K112:L112" si="58">K105</f>
        <v>-31097000</v>
      </c>
      <c r="L112" s="65">
        <f t="shared" si="58"/>
        <v>-32715000</v>
      </c>
    </row>
    <row r="113" spans="1:12" s="1" customFormat="1" ht="14.25" x14ac:dyDescent="0.2">
      <c r="A113" s="5"/>
      <c r="B113" s="7"/>
      <c r="C113" s="52"/>
      <c r="D113" s="53"/>
      <c r="E113" s="54"/>
      <c r="F113" s="53"/>
      <c r="G113" s="54"/>
      <c r="H113" s="53"/>
      <c r="I113" s="63"/>
      <c r="J113" s="53"/>
      <c r="K113" s="54"/>
      <c r="L113" s="53"/>
    </row>
    <row r="114" spans="1:12" s="3" customFormat="1" x14ac:dyDescent="0.25">
      <c r="A114" s="18"/>
      <c r="B114" s="19" t="s">
        <v>435</v>
      </c>
      <c r="C114" s="49">
        <f>C111+C112</f>
        <v>-22415239</v>
      </c>
      <c r="D114" s="55">
        <f t="shared" ref="D114:G114" si="59">D111+D112</f>
        <v>-10510854.4</v>
      </c>
      <c r="E114" s="49">
        <f t="shared" si="59"/>
        <v>142290.253</v>
      </c>
      <c r="F114" s="55">
        <f>F111+F112</f>
        <v>-9178394.6999999993</v>
      </c>
      <c r="G114" s="49">
        <f t="shared" si="59"/>
        <v>-13379134.553000001</v>
      </c>
      <c r="H114" s="50">
        <v>40.94</v>
      </c>
      <c r="I114" s="64">
        <f>I111+I112</f>
        <v>1600276.6</v>
      </c>
      <c r="J114" s="55">
        <f t="shared" ref="J114:L114" si="60">J111+J112</f>
        <v>-20814962.399999999</v>
      </c>
      <c r="K114" s="49">
        <f t="shared" si="60"/>
        <v>-20525731.723999999</v>
      </c>
      <c r="L114" s="55">
        <f t="shared" si="60"/>
        <v>-21509455.627439998</v>
      </c>
    </row>
    <row r="115" spans="1:12" s="1" customFormat="1" ht="14.25" x14ac:dyDescent="0.2">
      <c r="A115" s="5"/>
      <c r="B115" s="7"/>
      <c r="C115" s="52"/>
      <c r="D115" s="53"/>
      <c r="E115" s="54"/>
      <c r="F115" s="53"/>
      <c r="G115" s="54"/>
      <c r="H115" s="53"/>
      <c r="I115" s="63"/>
      <c r="J115" s="53"/>
      <c r="K115" s="54"/>
      <c r="L115" s="53"/>
    </row>
    <row r="116" spans="1:12" s="3" customFormat="1" x14ac:dyDescent="0.25">
      <c r="A116" s="18"/>
      <c r="B116" s="19" t="s">
        <v>436</v>
      </c>
      <c r="C116" s="49">
        <f>C114</f>
        <v>-22415239</v>
      </c>
      <c r="D116" s="55">
        <f t="shared" ref="D116:G116" si="61">D114</f>
        <v>-10510854.4</v>
      </c>
      <c r="E116" s="49">
        <f t="shared" si="61"/>
        <v>142290.253</v>
      </c>
      <c r="F116" s="55">
        <f t="shared" si="61"/>
        <v>-9178394.6999999993</v>
      </c>
      <c r="G116" s="49">
        <f t="shared" si="61"/>
        <v>-13379134.553000001</v>
      </c>
      <c r="H116" s="50">
        <v>40.94</v>
      </c>
      <c r="I116" s="64">
        <f t="shared" ref="I116:L116" si="62">I114</f>
        <v>1600276.6</v>
      </c>
      <c r="J116" s="55">
        <f t="shared" si="62"/>
        <v>-20814962.399999999</v>
      </c>
      <c r="K116" s="49">
        <f t="shared" si="62"/>
        <v>-20525731.723999999</v>
      </c>
      <c r="L116" s="55">
        <f t="shared" si="62"/>
        <v>-21509455.627439998</v>
      </c>
    </row>
    <row r="117" spans="1:12" s="1" customFormat="1" ht="14.25" x14ac:dyDescent="0.2">
      <c r="A117" s="5"/>
      <c r="B117" s="7"/>
      <c r="C117" s="52"/>
      <c r="D117" s="53"/>
      <c r="E117" s="54"/>
      <c r="F117" s="53"/>
      <c r="G117" s="54"/>
      <c r="H117" s="53"/>
      <c r="I117" s="63"/>
      <c r="J117" s="53"/>
      <c r="K117" s="54"/>
      <c r="L117" s="53"/>
    </row>
    <row r="118" spans="1:12" s="3" customFormat="1" x14ac:dyDescent="0.25">
      <c r="A118" s="18"/>
      <c r="B118" s="19" t="s">
        <v>437</v>
      </c>
      <c r="C118" s="49"/>
      <c r="D118" s="50"/>
      <c r="E118" s="51"/>
      <c r="F118" s="50"/>
      <c r="G118" s="51"/>
      <c r="H118" s="50"/>
      <c r="I118" s="62"/>
      <c r="J118" s="50"/>
      <c r="K118" s="51"/>
      <c r="L118" s="50"/>
    </row>
    <row r="119" spans="1:12" s="1" customFormat="1" ht="14.25" x14ac:dyDescent="0.2">
      <c r="A119" s="5"/>
      <c r="B119" s="7"/>
      <c r="C119" s="52"/>
      <c r="D119" s="53"/>
      <c r="E119" s="54"/>
      <c r="F119" s="53"/>
      <c r="G119" s="54"/>
      <c r="H119" s="53"/>
      <c r="I119" s="63"/>
      <c r="J119" s="53"/>
      <c r="K119" s="54"/>
      <c r="L119" s="53"/>
    </row>
    <row r="120" spans="1:12" s="258" customFormat="1" ht="14.25" x14ac:dyDescent="0.2">
      <c r="A120" s="253" t="s">
        <v>909</v>
      </c>
      <c r="B120" s="254" t="s">
        <v>444</v>
      </c>
      <c r="C120" s="290">
        <v>0</v>
      </c>
      <c r="D120" s="291">
        <v>0</v>
      </c>
      <c r="E120" s="292">
        <v>0</v>
      </c>
      <c r="F120" s="291">
        <v>0</v>
      </c>
      <c r="G120" s="292">
        <f t="shared" ref="G120:G128" si="63">C120-E120-F120</f>
        <v>0</v>
      </c>
      <c r="H120" s="291">
        <v>0</v>
      </c>
      <c r="I120" s="293">
        <v>1413090</v>
      </c>
      <c r="J120" s="291">
        <f t="shared" ref="J120:J128" si="64">C120+I120</f>
        <v>1413090</v>
      </c>
      <c r="K120" s="292">
        <v>0</v>
      </c>
      <c r="L120" s="291">
        <v>0</v>
      </c>
    </row>
    <row r="121" spans="1:12" s="258" customFormat="1" ht="14.25" x14ac:dyDescent="0.2">
      <c r="A121" s="253"/>
      <c r="B121" s="111" t="s">
        <v>1086</v>
      </c>
      <c r="C121" s="290"/>
      <c r="D121" s="291"/>
      <c r="E121" s="292"/>
      <c r="F121" s="291"/>
      <c r="G121" s="292"/>
      <c r="H121" s="291"/>
      <c r="I121" s="293"/>
      <c r="J121" s="291"/>
      <c r="K121" s="292">
        <f>'[3]ALL DEPARTMENTS'!$I$1283</f>
        <v>0</v>
      </c>
      <c r="L121" s="291">
        <f>'[3]ALL DEPARTMENTS'!$J$1283</f>
        <v>0</v>
      </c>
    </row>
    <row r="122" spans="1:12" s="1" customFormat="1" ht="14.25" x14ac:dyDescent="0.2">
      <c r="A122" s="5" t="s">
        <v>910</v>
      </c>
      <c r="B122" s="7" t="s">
        <v>446</v>
      </c>
      <c r="C122" s="52">
        <v>500000</v>
      </c>
      <c r="D122" s="53">
        <v>0</v>
      </c>
      <c r="E122" s="54">
        <v>0</v>
      </c>
      <c r="F122" s="53">
        <v>0</v>
      </c>
      <c r="G122" s="54">
        <f t="shared" si="63"/>
        <v>500000</v>
      </c>
      <c r="H122" s="53">
        <v>0</v>
      </c>
      <c r="I122" s="63">
        <v>-80000</v>
      </c>
      <c r="J122" s="53">
        <f t="shared" si="64"/>
        <v>420000</v>
      </c>
      <c r="K122" s="54"/>
      <c r="L122" s="53"/>
    </row>
    <row r="123" spans="1:12" s="1" customFormat="1" ht="14.25" x14ac:dyDescent="0.2">
      <c r="A123" s="5" t="s">
        <v>911</v>
      </c>
      <c r="B123" s="7" t="s">
        <v>448</v>
      </c>
      <c r="C123" s="52">
        <v>500000</v>
      </c>
      <c r="D123" s="53">
        <v>0</v>
      </c>
      <c r="E123" s="54">
        <v>0</v>
      </c>
      <c r="F123" s="53">
        <v>0</v>
      </c>
      <c r="G123" s="54">
        <f t="shared" si="63"/>
        <v>500000</v>
      </c>
      <c r="H123" s="53">
        <v>0</v>
      </c>
      <c r="I123" s="63">
        <v>-80000</v>
      </c>
      <c r="J123" s="53">
        <f t="shared" si="64"/>
        <v>420000</v>
      </c>
      <c r="K123" s="54"/>
      <c r="L123" s="53"/>
    </row>
    <row r="124" spans="1:12" s="1" customFormat="1" ht="14.25" x14ac:dyDescent="0.2">
      <c r="A124" s="5" t="s">
        <v>912</v>
      </c>
      <c r="B124" s="7" t="s">
        <v>497</v>
      </c>
      <c r="C124" s="52">
        <v>3000000</v>
      </c>
      <c r="D124" s="53">
        <v>0</v>
      </c>
      <c r="E124" s="54">
        <v>0</v>
      </c>
      <c r="F124" s="53">
        <v>2193087.5499999998</v>
      </c>
      <c r="G124" s="54">
        <f t="shared" si="63"/>
        <v>806912.45000000019</v>
      </c>
      <c r="H124" s="53">
        <v>73.099999999999994</v>
      </c>
      <c r="I124" s="63">
        <v>-806912</v>
      </c>
      <c r="J124" s="53">
        <f t="shared" si="64"/>
        <v>2193088</v>
      </c>
      <c r="K124" s="54"/>
      <c r="L124" s="53"/>
    </row>
    <row r="125" spans="1:12" s="1" customFormat="1" ht="14.25" x14ac:dyDescent="0.2">
      <c r="A125" s="5" t="s">
        <v>913</v>
      </c>
      <c r="B125" s="7" t="s">
        <v>455</v>
      </c>
      <c r="C125" s="52">
        <v>10000000</v>
      </c>
      <c r="D125" s="53">
        <v>0</v>
      </c>
      <c r="E125" s="54">
        <v>0</v>
      </c>
      <c r="F125" s="53">
        <v>0</v>
      </c>
      <c r="G125" s="54">
        <f t="shared" si="63"/>
        <v>10000000</v>
      </c>
      <c r="H125" s="53">
        <v>0</v>
      </c>
      <c r="I125" s="63">
        <v>0</v>
      </c>
      <c r="J125" s="53">
        <f t="shared" si="64"/>
        <v>10000000</v>
      </c>
      <c r="K125" s="54">
        <f>'[3]ALL DEPARTMENTS'!$I$1292</f>
        <v>15900000</v>
      </c>
      <c r="L125" s="53">
        <f>'[3]ALL DEPARTMENTS'!$J$1292</f>
        <v>5700000</v>
      </c>
    </row>
    <row r="126" spans="1:12" s="258" customFormat="1" ht="14.25" x14ac:dyDescent="0.2">
      <c r="A126" s="253" t="s">
        <v>914</v>
      </c>
      <c r="B126" s="254" t="s">
        <v>449</v>
      </c>
      <c r="C126" s="290">
        <v>0</v>
      </c>
      <c r="D126" s="291">
        <v>0</v>
      </c>
      <c r="E126" s="292">
        <v>0</v>
      </c>
      <c r="F126" s="291">
        <v>1082928</v>
      </c>
      <c r="G126" s="292">
        <f t="shared" si="63"/>
        <v>-1082928</v>
      </c>
      <c r="H126" s="291">
        <v>0</v>
      </c>
      <c r="I126" s="293">
        <f>1350000-115462</f>
        <v>1234538</v>
      </c>
      <c r="J126" s="291">
        <f t="shared" si="64"/>
        <v>1234538</v>
      </c>
      <c r="K126" s="292"/>
      <c r="L126" s="291"/>
    </row>
    <row r="127" spans="1:12" s="258" customFormat="1" ht="14.25" x14ac:dyDescent="0.2">
      <c r="A127" s="253"/>
      <c r="B127" s="111" t="s">
        <v>1087</v>
      </c>
      <c r="C127" s="290"/>
      <c r="D127" s="291"/>
      <c r="E127" s="292"/>
      <c r="F127" s="291"/>
      <c r="G127" s="292"/>
      <c r="H127" s="291"/>
      <c r="I127" s="293">
        <v>0</v>
      </c>
      <c r="J127" s="291">
        <v>0</v>
      </c>
      <c r="K127" s="292">
        <v>0</v>
      </c>
      <c r="L127" s="291">
        <f>'[3]ALL DEPARTMENTS'!$J$1287</f>
        <v>0</v>
      </c>
    </row>
    <row r="128" spans="1:12" s="1" customFormat="1" ht="14.25" x14ac:dyDescent="0.2">
      <c r="A128" s="5" t="s">
        <v>915</v>
      </c>
      <c r="B128" s="7" t="s">
        <v>464</v>
      </c>
      <c r="C128" s="52">
        <v>500000</v>
      </c>
      <c r="D128" s="53">
        <v>0</v>
      </c>
      <c r="E128" s="54">
        <v>0</v>
      </c>
      <c r="F128" s="53">
        <v>0</v>
      </c>
      <c r="G128" s="54">
        <f t="shared" si="63"/>
        <v>500000</v>
      </c>
      <c r="H128" s="53">
        <v>0</v>
      </c>
      <c r="I128" s="63">
        <v>0</v>
      </c>
      <c r="J128" s="53">
        <f t="shared" si="64"/>
        <v>500000</v>
      </c>
      <c r="K128" s="54"/>
      <c r="L128" s="53"/>
    </row>
    <row r="129" spans="1:13" s="1" customFormat="1" ht="14.25" x14ac:dyDescent="0.2">
      <c r="A129" s="5"/>
      <c r="B129" s="7"/>
      <c r="C129" s="52"/>
      <c r="D129" s="53"/>
      <c r="E129" s="54"/>
      <c r="F129" s="53"/>
      <c r="G129" s="54"/>
      <c r="H129" s="53"/>
      <c r="I129" s="63"/>
      <c r="J129" s="53"/>
      <c r="K129" s="54"/>
      <c r="L129" s="53"/>
    </row>
    <row r="130" spans="1:13" s="3" customFormat="1" x14ac:dyDescent="0.25">
      <c r="A130" s="18"/>
      <c r="B130" s="19" t="s">
        <v>471</v>
      </c>
      <c r="C130" s="49">
        <f>SUM(C120:C129)</f>
        <v>14500000</v>
      </c>
      <c r="D130" s="55">
        <f t="shared" ref="D130:G130" si="65">SUM(D120:D129)</f>
        <v>0</v>
      </c>
      <c r="E130" s="49">
        <f t="shared" si="65"/>
        <v>0</v>
      </c>
      <c r="F130" s="55">
        <f t="shared" si="65"/>
        <v>3276015.55</v>
      </c>
      <c r="G130" s="49">
        <f t="shared" si="65"/>
        <v>11223984.449999999</v>
      </c>
      <c r="H130" s="50">
        <v>22.59</v>
      </c>
      <c r="I130" s="64">
        <f t="shared" ref="I130:L130" si="66">SUM(I120:I129)</f>
        <v>1680716</v>
      </c>
      <c r="J130" s="55">
        <f t="shared" si="66"/>
        <v>16180716</v>
      </c>
      <c r="K130" s="49">
        <f t="shared" si="66"/>
        <v>15900000</v>
      </c>
      <c r="L130" s="55">
        <f t="shared" si="66"/>
        <v>5700000</v>
      </c>
    </row>
    <row r="131" spans="1:13" s="1" customFormat="1" ht="14.25" x14ac:dyDescent="0.2">
      <c r="A131" s="5"/>
      <c r="B131" s="7"/>
      <c r="C131" s="52"/>
      <c r="D131" s="53"/>
      <c r="E131" s="54"/>
      <c r="F131" s="53"/>
      <c r="G131" s="54"/>
      <c r="H131" s="53"/>
      <c r="I131" s="63"/>
      <c r="J131" s="53"/>
      <c r="K131" s="54"/>
      <c r="L131" s="53"/>
    </row>
    <row r="132" spans="1:13" s="3" customFormat="1" x14ac:dyDescent="0.25">
      <c r="A132" s="18"/>
      <c r="B132" s="19" t="s">
        <v>472</v>
      </c>
      <c r="C132" s="49">
        <f>C130</f>
        <v>14500000</v>
      </c>
      <c r="D132" s="55">
        <f t="shared" ref="D132:L132" si="67">D130</f>
        <v>0</v>
      </c>
      <c r="E132" s="49">
        <f t="shared" si="67"/>
        <v>0</v>
      </c>
      <c r="F132" s="55">
        <f t="shared" si="67"/>
        <v>3276015.55</v>
      </c>
      <c r="G132" s="49">
        <f t="shared" si="67"/>
        <v>11223984.449999999</v>
      </c>
      <c r="H132" s="50">
        <v>22.59</v>
      </c>
      <c r="I132" s="64">
        <f t="shared" si="67"/>
        <v>1680716</v>
      </c>
      <c r="J132" s="55">
        <f t="shared" si="67"/>
        <v>16180716</v>
      </c>
      <c r="K132" s="49">
        <f t="shared" si="67"/>
        <v>15900000</v>
      </c>
      <c r="L132" s="55">
        <f t="shared" si="67"/>
        <v>5700000</v>
      </c>
    </row>
    <row r="133" spans="1:13" s="3" customFormat="1" x14ac:dyDescent="0.25">
      <c r="A133" s="18"/>
      <c r="B133" s="19"/>
      <c r="C133" s="49"/>
      <c r="D133" s="50"/>
      <c r="E133" s="51"/>
      <c r="F133" s="50"/>
      <c r="G133" s="51"/>
      <c r="H133" s="50"/>
      <c r="I133" s="62"/>
      <c r="J133" s="50"/>
      <c r="K133" s="51"/>
      <c r="L133" s="50"/>
    </row>
    <row r="134" spans="1:13" s="3" customFormat="1" x14ac:dyDescent="0.25">
      <c r="A134" s="18"/>
      <c r="B134" s="19" t="s">
        <v>473</v>
      </c>
      <c r="C134" s="49"/>
      <c r="D134" s="50"/>
      <c r="E134" s="51"/>
      <c r="F134" s="50"/>
      <c r="G134" s="51"/>
      <c r="H134" s="50"/>
      <c r="I134" s="62"/>
      <c r="J134" s="50"/>
      <c r="K134" s="51"/>
      <c r="L134" s="50"/>
    </row>
    <row r="135" spans="1:13" s="3" customFormat="1" x14ac:dyDescent="0.25">
      <c r="A135" s="18"/>
      <c r="B135" s="19"/>
      <c r="C135" s="49"/>
      <c r="D135" s="50"/>
      <c r="E135" s="51"/>
      <c r="F135" s="50"/>
      <c r="G135" s="51"/>
      <c r="H135" s="50"/>
      <c r="I135" s="62"/>
      <c r="J135" s="50"/>
      <c r="K135" s="51"/>
      <c r="L135" s="50"/>
      <c r="M135" s="289"/>
    </row>
    <row r="136" spans="1:13" s="1" customFormat="1" ht="14.25" x14ac:dyDescent="0.2">
      <c r="A136" s="5" t="s">
        <v>916</v>
      </c>
      <c r="B136" s="7" t="s">
        <v>475</v>
      </c>
      <c r="C136" s="52">
        <v>0</v>
      </c>
      <c r="D136" s="53">
        <v>0</v>
      </c>
      <c r="E136" s="54">
        <v>0</v>
      </c>
      <c r="F136" s="53">
        <v>0</v>
      </c>
      <c r="G136" s="54">
        <v>0</v>
      </c>
      <c r="H136" s="53">
        <v>0</v>
      </c>
      <c r="I136" s="63">
        <v>73847</v>
      </c>
      <c r="J136" s="53">
        <f t="shared" ref="J136:J142" si="68">C136+I136</f>
        <v>73847</v>
      </c>
      <c r="K136" s="54"/>
      <c r="L136" s="53"/>
    </row>
    <row r="137" spans="1:13" s="1" customFormat="1" ht="14.25" x14ac:dyDescent="0.2">
      <c r="A137" s="5" t="s">
        <v>917</v>
      </c>
      <c r="B137" s="7" t="s">
        <v>477</v>
      </c>
      <c r="C137" s="52">
        <v>0</v>
      </c>
      <c r="D137" s="53">
        <v>0</v>
      </c>
      <c r="E137" s="54">
        <v>0</v>
      </c>
      <c r="F137" s="53">
        <v>0</v>
      </c>
      <c r="G137" s="54">
        <v>0</v>
      </c>
      <c r="H137" s="53">
        <v>0</v>
      </c>
      <c r="I137" s="63">
        <v>0</v>
      </c>
      <c r="J137" s="53">
        <f t="shared" si="68"/>
        <v>0</v>
      </c>
      <c r="K137" s="54"/>
      <c r="L137" s="53"/>
    </row>
    <row r="138" spans="1:13" s="1" customFormat="1" ht="14.25" x14ac:dyDescent="0.2">
      <c r="A138" s="5" t="s">
        <v>918</v>
      </c>
      <c r="B138" s="7" t="s">
        <v>919</v>
      </c>
      <c r="C138" s="52">
        <v>0</v>
      </c>
      <c r="D138" s="53">
        <v>0</v>
      </c>
      <c r="E138" s="54">
        <v>0</v>
      </c>
      <c r="F138" s="53">
        <v>0</v>
      </c>
      <c r="G138" s="54">
        <v>0</v>
      </c>
      <c r="H138" s="53">
        <v>0</v>
      </c>
      <c r="I138" s="63">
        <v>0</v>
      </c>
      <c r="J138" s="53">
        <f t="shared" si="68"/>
        <v>0</v>
      </c>
      <c r="K138" s="54"/>
      <c r="L138" s="53"/>
    </row>
    <row r="139" spans="1:13" s="258" customFormat="1" ht="14.25" x14ac:dyDescent="0.2">
      <c r="A139" s="253" t="s">
        <v>920</v>
      </c>
      <c r="B139" s="254" t="s">
        <v>483</v>
      </c>
      <c r="C139" s="290">
        <v>14221600</v>
      </c>
      <c r="D139" s="291">
        <v>0</v>
      </c>
      <c r="E139" s="292">
        <v>0</v>
      </c>
      <c r="F139" s="291">
        <v>7154963.7400000002</v>
      </c>
      <c r="G139" s="292">
        <v>7066636.2599999998</v>
      </c>
      <c r="H139" s="291">
        <v>50.31</v>
      </c>
      <c r="I139" s="293">
        <v>320856.96000000002</v>
      </c>
      <c r="J139" s="291">
        <f t="shared" si="68"/>
        <v>14542456.960000001</v>
      </c>
      <c r="K139" s="292">
        <v>0</v>
      </c>
      <c r="L139" s="291">
        <f>'[3]ALL DEPARTMENTS'!$J$1301</f>
        <v>12000000</v>
      </c>
    </row>
    <row r="140" spans="1:13" s="1" customFormat="1" ht="14.25" x14ac:dyDescent="0.2">
      <c r="A140" s="5" t="s">
        <v>921</v>
      </c>
      <c r="B140" s="7" t="s">
        <v>485</v>
      </c>
      <c r="C140" s="52">
        <v>0</v>
      </c>
      <c r="D140" s="53">
        <v>0</v>
      </c>
      <c r="E140" s="54">
        <v>0</v>
      </c>
      <c r="F140" s="53">
        <v>0</v>
      </c>
      <c r="G140" s="54">
        <v>0</v>
      </c>
      <c r="H140" s="53">
        <v>0</v>
      </c>
      <c r="I140" s="63">
        <v>0</v>
      </c>
      <c r="J140" s="53">
        <f t="shared" si="68"/>
        <v>0</v>
      </c>
      <c r="K140" s="54">
        <f>'[3]ALL DEPARTMENTS'!$I$395</f>
        <v>10877600</v>
      </c>
      <c r="L140" s="53">
        <v>0</v>
      </c>
    </row>
    <row r="141" spans="1:13" s="1" customFormat="1" ht="14.25" x14ac:dyDescent="0.2">
      <c r="A141" s="5" t="s">
        <v>922</v>
      </c>
      <c r="B141" s="7" t="s">
        <v>487</v>
      </c>
      <c r="C141" s="52">
        <v>9792000</v>
      </c>
      <c r="D141" s="53">
        <v>1150695.8999999999</v>
      </c>
      <c r="E141" s="54">
        <v>0</v>
      </c>
      <c r="F141" s="53">
        <v>1604033.16</v>
      </c>
      <c r="G141" s="54">
        <v>8187966.8399999999</v>
      </c>
      <c r="H141" s="53">
        <v>16.38</v>
      </c>
      <c r="I141" s="63">
        <v>0</v>
      </c>
      <c r="J141" s="53">
        <f t="shared" si="68"/>
        <v>9792000</v>
      </c>
      <c r="K141" s="54"/>
      <c r="L141" s="53">
        <f>'[3]ALL DEPARTMENTS'!$J$1302</f>
        <v>14172000</v>
      </c>
    </row>
    <row r="142" spans="1:13" s="1" customFormat="1" ht="14.25" x14ac:dyDescent="0.2">
      <c r="A142" s="5" t="s">
        <v>923</v>
      </c>
      <c r="B142" s="7" t="s">
        <v>493</v>
      </c>
      <c r="C142" s="52">
        <v>0</v>
      </c>
      <c r="D142" s="53">
        <v>0</v>
      </c>
      <c r="E142" s="54">
        <v>0</v>
      </c>
      <c r="F142" s="53">
        <v>0</v>
      </c>
      <c r="G142" s="54">
        <v>0</v>
      </c>
      <c r="H142" s="53">
        <v>0</v>
      </c>
      <c r="I142" s="63">
        <v>0</v>
      </c>
      <c r="J142" s="53">
        <f t="shared" si="68"/>
        <v>0</v>
      </c>
      <c r="K142" s="54">
        <f>'[3]ALL DEPARTMENTS'!$I$390</f>
        <v>14000000</v>
      </c>
      <c r="L142" s="53"/>
    </row>
    <row r="143" spans="1:13" s="1" customFormat="1" ht="14.25" x14ac:dyDescent="0.2">
      <c r="A143" s="5"/>
      <c r="B143" s="7"/>
      <c r="C143" s="52"/>
      <c r="D143" s="53"/>
      <c r="E143" s="54"/>
      <c r="F143" s="53"/>
      <c r="G143" s="54"/>
      <c r="H143" s="53"/>
      <c r="I143" s="63"/>
      <c r="J143" s="53"/>
      <c r="K143" s="54"/>
      <c r="L143" s="53"/>
    </row>
    <row r="144" spans="1:13" s="3" customFormat="1" x14ac:dyDescent="0.25">
      <c r="A144" s="18"/>
      <c r="B144" s="19" t="s">
        <v>494</v>
      </c>
      <c r="C144" s="49">
        <f>SUM(C136:C143)</f>
        <v>24013600</v>
      </c>
      <c r="D144" s="55">
        <f>SUM(D136:D143)</f>
        <v>1150695.8999999999</v>
      </c>
      <c r="E144" s="49">
        <f>SUM(E136:E143)</f>
        <v>0</v>
      </c>
      <c r="F144" s="55">
        <f>SUM(F136:F143)</f>
        <v>8758996.9000000004</v>
      </c>
      <c r="G144" s="49">
        <f>SUM(G136:G143)</f>
        <v>15254603.1</v>
      </c>
      <c r="H144" s="50">
        <v>36.47</v>
      </c>
      <c r="I144" s="64">
        <f>SUM(I136:I143)</f>
        <v>394703.96</v>
      </c>
      <c r="J144" s="55">
        <f>SUM(J136:J143)</f>
        <v>24408303.960000001</v>
      </c>
      <c r="K144" s="49">
        <f>SUM(K136:K143)</f>
        <v>24877600</v>
      </c>
      <c r="L144" s="55">
        <f>SUM(L136:L143)</f>
        <v>26172000</v>
      </c>
    </row>
    <row r="145" spans="1:12" s="1" customFormat="1" ht="14.25" x14ac:dyDescent="0.2">
      <c r="A145" s="5"/>
      <c r="B145" s="7"/>
      <c r="C145" s="52"/>
      <c r="D145" s="53"/>
      <c r="E145" s="54"/>
      <c r="F145" s="53"/>
      <c r="G145" s="54"/>
      <c r="H145" s="53"/>
      <c r="I145" s="63"/>
      <c r="J145" s="53"/>
      <c r="K145" s="54"/>
      <c r="L145" s="53"/>
    </row>
    <row r="146" spans="1:12" s="3" customFormat="1" x14ac:dyDescent="0.25">
      <c r="A146" s="18"/>
      <c r="B146" s="19" t="s">
        <v>495</v>
      </c>
      <c r="C146" s="49">
        <f>C144</f>
        <v>24013600</v>
      </c>
      <c r="D146" s="55">
        <f t="shared" ref="D146:L146" si="69">D144</f>
        <v>1150695.8999999999</v>
      </c>
      <c r="E146" s="49">
        <f t="shared" si="69"/>
        <v>0</v>
      </c>
      <c r="F146" s="55">
        <f t="shared" si="69"/>
        <v>8758996.9000000004</v>
      </c>
      <c r="G146" s="49">
        <f t="shared" si="69"/>
        <v>15254603.1</v>
      </c>
      <c r="H146" s="50">
        <v>36.47</v>
      </c>
      <c r="I146" s="64">
        <f t="shared" si="69"/>
        <v>394703.96</v>
      </c>
      <c r="J146" s="55">
        <f t="shared" si="69"/>
        <v>24408303.960000001</v>
      </c>
      <c r="K146" s="49">
        <f t="shared" si="69"/>
        <v>24877600</v>
      </c>
      <c r="L146" s="55">
        <f t="shared" si="69"/>
        <v>26172000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Normal="100" workbookViewId="0">
      <pane xSplit="2" ySplit="1" topLeftCell="E98" activePane="bottomRight" state="frozen"/>
      <selection pane="topRight" activeCell="C1" sqref="C1"/>
      <selection pane="bottomLeft" activeCell="A2" sqref="A2"/>
      <selection pane="bottomRight" activeCell="J110" sqref="J110"/>
    </sheetView>
  </sheetViews>
  <sheetFormatPr defaultRowHeight="15" x14ac:dyDescent="0.25"/>
  <cols>
    <col min="1" max="1" width="18.42578125" bestFit="1" customWidth="1"/>
    <col min="2" max="2" width="62" bestFit="1" customWidth="1"/>
    <col min="3" max="3" width="15.42578125" customWidth="1"/>
    <col min="4" max="4" width="15.5703125" customWidth="1"/>
    <col min="5" max="5" width="12.85546875" customWidth="1"/>
    <col min="6" max="6" width="13.28515625" customWidth="1"/>
    <col min="7" max="7" width="13.140625" customWidth="1"/>
    <col min="8" max="8" width="7.85546875" customWidth="1"/>
    <col min="9" max="9" width="13.5703125" style="73" customWidth="1"/>
    <col min="10" max="10" width="13" customWidth="1"/>
    <col min="11" max="11" width="13.28515625" customWidth="1"/>
    <col min="12" max="12" width="12.4257812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304" t="s">
        <v>4</v>
      </c>
      <c r="F1" s="301" t="s">
        <v>5</v>
      </c>
      <c r="G1" s="300" t="s">
        <v>6</v>
      </c>
      <c r="H1" s="300" t="s">
        <v>7</v>
      </c>
      <c r="I1" s="302" t="s">
        <v>999</v>
      </c>
      <c r="J1" s="301" t="s">
        <v>1000</v>
      </c>
      <c r="K1" s="301" t="s">
        <v>1001</v>
      </c>
      <c r="L1" s="303" t="s">
        <v>1002</v>
      </c>
    </row>
    <row r="2" spans="1:12" s="3" customFormat="1" x14ac:dyDescent="0.25">
      <c r="A2" s="22"/>
      <c r="B2" s="23" t="s">
        <v>1010</v>
      </c>
      <c r="C2" s="235"/>
      <c r="D2" s="25"/>
      <c r="E2" s="305"/>
      <c r="F2" s="297"/>
      <c r="G2" s="297"/>
      <c r="H2" s="297"/>
      <c r="I2" s="298"/>
      <c r="J2" s="297"/>
      <c r="K2" s="297"/>
      <c r="L2" s="299"/>
    </row>
    <row r="3" spans="1:12" s="3" customFormat="1" x14ac:dyDescent="0.25">
      <c r="A3" s="18"/>
      <c r="B3" s="19"/>
      <c r="C3" s="28"/>
      <c r="D3" s="21"/>
      <c r="E3" s="281"/>
      <c r="F3" s="259"/>
      <c r="G3" s="259"/>
      <c r="H3" s="259"/>
      <c r="I3" s="260"/>
      <c r="J3" s="259"/>
      <c r="K3" s="259"/>
      <c r="L3" s="268"/>
    </row>
    <row r="4" spans="1:12" s="3" customFormat="1" x14ac:dyDescent="0.25">
      <c r="A4" s="18"/>
      <c r="B4" s="19" t="s">
        <v>9</v>
      </c>
      <c r="C4" s="28"/>
      <c r="D4" s="21"/>
      <c r="E4" s="281"/>
      <c r="F4" s="259"/>
      <c r="G4" s="259"/>
      <c r="H4" s="259"/>
      <c r="I4" s="260"/>
      <c r="J4" s="259"/>
      <c r="K4" s="259"/>
      <c r="L4" s="268"/>
    </row>
    <row r="5" spans="1:12" s="3" customFormat="1" x14ac:dyDescent="0.25">
      <c r="A5" s="18"/>
      <c r="B5" s="19"/>
      <c r="C5" s="28"/>
      <c r="D5" s="21"/>
      <c r="E5" s="281"/>
      <c r="F5" s="259"/>
      <c r="G5" s="259"/>
      <c r="H5" s="259"/>
      <c r="I5" s="260"/>
      <c r="J5" s="259"/>
      <c r="K5" s="259"/>
      <c r="L5" s="268"/>
    </row>
    <row r="6" spans="1:12" s="3" customFormat="1" x14ac:dyDescent="0.25">
      <c r="A6" s="18"/>
      <c r="B6" s="19" t="s">
        <v>10</v>
      </c>
      <c r="C6" s="28"/>
      <c r="D6" s="21"/>
      <c r="E6" s="281"/>
      <c r="F6" s="259"/>
      <c r="G6" s="259"/>
      <c r="H6" s="259"/>
      <c r="I6" s="260"/>
      <c r="J6" s="259"/>
      <c r="K6" s="259"/>
      <c r="L6" s="268"/>
    </row>
    <row r="7" spans="1:12" s="3" customFormat="1" x14ac:dyDescent="0.25">
      <c r="A7" s="18"/>
      <c r="B7" s="19"/>
      <c r="C7" s="28"/>
      <c r="D7" s="21"/>
      <c r="E7" s="281"/>
      <c r="F7" s="259"/>
      <c r="G7" s="259"/>
      <c r="H7" s="259"/>
      <c r="I7" s="260"/>
      <c r="J7" s="259"/>
      <c r="K7" s="259"/>
      <c r="L7" s="268"/>
    </row>
    <row r="8" spans="1:12" s="3" customFormat="1" x14ac:dyDescent="0.25">
      <c r="A8" s="18"/>
      <c r="B8" s="19" t="s">
        <v>11</v>
      </c>
      <c r="C8" s="28"/>
      <c r="D8" s="21"/>
      <c r="E8" s="281"/>
      <c r="F8" s="259"/>
      <c r="G8" s="259"/>
      <c r="H8" s="259"/>
      <c r="I8" s="260"/>
      <c r="J8" s="259"/>
      <c r="K8" s="259"/>
      <c r="L8" s="268"/>
    </row>
    <row r="9" spans="1:12" s="3" customFormat="1" x14ac:dyDescent="0.25">
      <c r="A9" s="18"/>
      <c r="B9" s="19"/>
      <c r="C9" s="28"/>
      <c r="D9" s="21"/>
      <c r="E9" s="281"/>
      <c r="F9" s="259"/>
      <c r="G9" s="259"/>
      <c r="H9" s="259"/>
      <c r="I9" s="260"/>
      <c r="J9" s="259"/>
      <c r="K9" s="259"/>
      <c r="L9" s="268"/>
    </row>
    <row r="10" spans="1:12" s="1" customFormat="1" ht="14.25" x14ac:dyDescent="0.2">
      <c r="A10" s="5" t="s">
        <v>924</v>
      </c>
      <c r="B10" s="7" t="s">
        <v>13</v>
      </c>
      <c r="C10" s="29">
        <v>108670</v>
      </c>
      <c r="D10" s="11">
        <v>0</v>
      </c>
      <c r="E10" s="282">
        <v>0</v>
      </c>
      <c r="F10" s="262">
        <v>45395.22</v>
      </c>
      <c r="G10" s="262">
        <f t="shared" ref="G10:G25" si="0">C10-E10-F10</f>
        <v>63274.78</v>
      </c>
      <c r="H10" s="262">
        <v>41.77</v>
      </c>
      <c r="I10" s="264">
        <v>0</v>
      </c>
      <c r="J10" s="262">
        <f t="shared" ref="J10:J25" si="1">C10+I10</f>
        <v>108670</v>
      </c>
      <c r="K10" s="262">
        <f>J10*6/100+J10</f>
        <v>115190.2</v>
      </c>
      <c r="L10" s="269">
        <f>K10*6/100+K10</f>
        <v>122101.61199999999</v>
      </c>
    </row>
    <row r="11" spans="1:12" s="1" customFormat="1" ht="14.25" x14ac:dyDescent="0.2">
      <c r="A11" s="5" t="s">
        <v>925</v>
      </c>
      <c r="B11" s="7" t="s">
        <v>15</v>
      </c>
      <c r="C11" s="29">
        <v>6264</v>
      </c>
      <c r="D11" s="11">
        <v>0</v>
      </c>
      <c r="E11" s="282">
        <v>0</v>
      </c>
      <c r="F11" s="262">
        <v>0</v>
      </c>
      <c r="G11" s="262">
        <f t="shared" si="0"/>
        <v>6264</v>
      </c>
      <c r="H11" s="262">
        <v>0</v>
      </c>
      <c r="I11" s="264">
        <v>-6264</v>
      </c>
      <c r="J11" s="262">
        <f t="shared" si="1"/>
        <v>0</v>
      </c>
      <c r="K11" s="262">
        <f t="shared" ref="K11:L25" si="2">J11*6/100+J11</f>
        <v>0</v>
      </c>
      <c r="L11" s="269">
        <f t="shared" si="2"/>
        <v>0</v>
      </c>
    </row>
    <row r="12" spans="1:12" s="1" customFormat="1" ht="14.25" x14ac:dyDescent="0.2">
      <c r="A12" s="5" t="s">
        <v>926</v>
      </c>
      <c r="B12" s="7" t="s">
        <v>17</v>
      </c>
      <c r="C12" s="29">
        <v>15692</v>
      </c>
      <c r="D12" s="11">
        <v>1307.7</v>
      </c>
      <c r="E12" s="282">
        <v>0</v>
      </c>
      <c r="F12" s="262">
        <v>7846.2</v>
      </c>
      <c r="G12" s="262">
        <f t="shared" si="0"/>
        <v>7845.8</v>
      </c>
      <c r="H12" s="262">
        <v>50</v>
      </c>
      <c r="I12" s="264">
        <v>0</v>
      </c>
      <c r="J12" s="262">
        <f t="shared" si="1"/>
        <v>15692</v>
      </c>
      <c r="K12" s="262">
        <f t="shared" si="2"/>
        <v>16633.52</v>
      </c>
      <c r="L12" s="269">
        <f t="shared" si="2"/>
        <v>17631.531200000001</v>
      </c>
    </row>
    <row r="13" spans="1:12" s="1" customFormat="1" ht="14.25" x14ac:dyDescent="0.2">
      <c r="A13" s="5" t="s">
        <v>927</v>
      </c>
      <c r="B13" s="7" t="s">
        <v>19</v>
      </c>
      <c r="C13" s="29">
        <v>40000</v>
      </c>
      <c r="D13" s="11">
        <v>3714.17</v>
      </c>
      <c r="E13" s="282">
        <v>0</v>
      </c>
      <c r="F13" s="262">
        <v>26620.53</v>
      </c>
      <c r="G13" s="262">
        <f t="shared" si="0"/>
        <v>13379.470000000001</v>
      </c>
      <c r="H13" s="262">
        <v>66.55</v>
      </c>
      <c r="I13" s="264">
        <v>20000</v>
      </c>
      <c r="J13" s="262">
        <f t="shared" si="1"/>
        <v>60000</v>
      </c>
      <c r="K13" s="262">
        <f t="shared" si="2"/>
        <v>63600</v>
      </c>
      <c r="L13" s="269">
        <f t="shared" si="2"/>
        <v>67416</v>
      </c>
    </row>
    <row r="14" spans="1:12" s="1" customFormat="1" ht="14.25" x14ac:dyDescent="0.2">
      <c r="A14" s="5" t="s">
        <v>928</v>
      </c>
      <c r="B14" s="7" t="s">
        <v>21</v>
      </c>
      <c r="C14" s="29">
        <v>10000</v>
      </c>
      <c r="D14" s="11">
        <v>434.95</v>
      </c>
      <c r="E14" s="282">
        <v>0</v>
      </c>
      <c r="F14" s="262">
        <v>434.95</v>
      </c>
      <c r="G14" s="262">
        <f t="shared" si="0"/>
        <v>9565.0499999999993</v>
      </c>
      <c r="H14" s="262">
        <v>4.34</v>
      </c>
      <c r="I14" s="264">
        <v>0</v>
      </c>
      <c r="J14" s="262">
        <f t="shared" si="1"/>
        <v>10000</v>
      </c>
      <c r="K14" s="262">
        <f t="shared" si="2"/>
        <v>10600</v>
      </c>
      <c r="L14" s="269">
        <f t="shared" si="2"/>
        <v>11236</v>
      </c>
    </row>
    <row r="15" spans="1:12" s="1" customFormat="1" ht="14.25" x14ac:dyDescent="0.2">
      <c r="A15" s="5" t="s">
        <v>929</v>
      </c>
      <c r="B15" s="7" t="s">
        <v>22</v>
      </c>
      <c r="C15" s="29">
        <v>0</v>
      </c>
      <c r="D15" s="11">
        <v>0</v>
      </c>
      <c r="E15" s="282">
        <v>0</v>
      </c>
      <c r="F15" s="262">
        <v>0</v>
      </c>
      <c r="G15" s="262">
        <f t="shared" si="0"/>
        <v>0</v>
      </c>
      <c r="H15" s="262">
        <v>0</v>
      </c>
      <c r="I15" s="264">
        <v>0</v>
      </c>
      <c r="J15" s="262">
        <f t="shared" si="1"/>
        <v>0</v>
      </c>
      <c r="K15" s="262">
        <f t="shared" si="2"/>
        <v>0</v>
      </c>
      <c r="L15" s="269">
        <f t="shared" si="2"/>
        <v>0</v>
      </c>
    </row>
    <row r="16" spans="1:12" s="1" customFormat="1" ht="14.25" x14ac:dyDescent="0.2">
      <c r="A16" s="5" t="s">
        <v>930</v>
      </c>
      <c r="B16" s="7" t="s">
        <v>24</v>
      </c>
      <c r="C16" s="29">
        <v>65112</v>
      </c>
      <c r="D16" s="11">
        <v>4345.5</v>
      </c>
      <c r="E16" s="282">
        <v>0</v>
      </c>
      <c r="F16" s="262">
        <v>26073</v>
      </c>
      <c r="G16" s="262">
        <f t="shared" si="0"/>
        <v>39039</v>
      </c>
      <c r="H16" s="262">
        <v>40.04</v>
      </c>
      <c r="I16" s="264">
        <v>0</v>
      </c>
      <c r="J16" s="262">
        <f t="shared" si="1"/>
        <v>65112</v>
      </c>
      <c r="K16" s="262">
        <f t="shared" si="2"/>
        <v>69018.720000000001</v>
      </c>
      <c r="L16" s="269">
        <f t="shared" si="2"/>
        <v>73159.843200000003</v>
      </c>
    </row>
    <row r="17" spans="1:12" s="1" customFormat="1" ht="14.25" x14ac:dyDescent="0.2">
      <c r="A17" s="5" t="s">
        <v>931</v>
      </c>
      <c r="B17" s="7" t="s">
        <v>26</v>
      </c>
      <c r="C17" s="29">
        <v>0</v>
      </c>
      <c r="D17" s="11">
        <v>0</v>
      </c>
      <c r="E17" s="282">
        <v>0</v>
      </c>
      <c r="F17" s="262">
        <v>0</v>
      </c>
      <c r="G17" s="262">
        <f t="shared" si="0"/>
        <v>0</v>
      </c>
      <c r="H17" s="262">
        <v>0</v>
      </c>
      <c r="I17" s="264">
        <v>0</v>
      </c>
      <c r="J17" s="262">
        <f t="shared" si="1"/>
        <v>0</v>
      </c>
      <c r="K17" s="262">
        <f t="shared" si="2"/>
        <v>0</v>
      </c>
      <c r="L17" s="269">
        <f t="shared" si="2"/>
        <v>0</v>
      </c>
    </row>
    <row r="18" spans="1:12" s="1" customFormat="1" ht="14.25" x14ac:dyDescent="0.2">
      <c r="A18" s="5" t="s">
        <v>932</v>
      </c>
      <c r="B18" s="7" t="s">
        <v>28</v>
      </c>
      <c r="C18" s="29">
        <v>8181</v>
      </c>
      <c r="D18" s="11">
        <v>0</v>
      </c>
      <c r="E18" s="282">
        <v>0</v>
      </c>
      <c r="F18" s="262">
        <v>0</v>
      </c>
      <c r="G18" s="262">
        <f t="shared" si="0"/>
        <v>8181</v>
      </c>
      <c r="H18" s="262">
        <v>0</v>
      </c>
      <c r="I18" s="264">
        <v>-8181</v>
      </c>
      <c r="J18" s="262">
        <f t="shared" si="1"/>
        <v>0</v>
      </c>
      <c r="K18" s="262">
        <f t="shared" si="2"/>
        <v>0</v>
      </c>
      <c r="L18" s="269">
        <f t="shared" si="2"/>
        <v>0</v>
      </c>
    </row>
    <row r="19" spans="1:12" s="1" customFormat="1" ht="14.25" x14ac:dyDescent="0.2">
      <c r="A19" s="5" t="s">
        <v>933</v>
      </c>
      <c r="B19" s="7" t="s">
        <v>30</v>
      </c>
      <c r="C19" s="29">
        <v>0</v>
      </c>
      <c r="D19" s="11">
        <v>0</v>
      </c>
      <c r="E19" s="282">
        <v>0</v>
      </c>
      <c r="F19" s="262">
        <v>0</v>
      </c>
      <c r="G19" s="262">
        <f t="shared" si="0"/>
        <v>0</v>
      </c>
      <c r="H19" s="262">
        <v>0</v>
      </c>
      <c r="I19" s="264">
        <v>0</v>
      </c>
      <c r="J19" s="262">
        <f t="shared" si="1"/>
        <v>0</v>
      </c>
      <c r="K19" s="262">
        <f t="shared" si="2"/>
        <v>0</v>
      </c>
      <c r="L19" s="269">
        <f t="shared" si="2"/>
        <v>0</v>
      </c>
    </row>
    <row r="20" spans="1:12" s="1" customFormat="1" ht="14.25" x14ac:dyDescent="0.2">
      <c r="A20" s="5" t="s">
        <v>934</v>
      </c>
      <c r="B20" s="7" t="s">
        <v>32</v>
      </c>
      <c r="C20" s="29">
        <v>1304038</v>
      </c>
      <c r="D20" s="11">
        <v>93501.56</v>
      </c>
      <c r="E20" s="282">
        <v>0</v>
      </c>
      <c r="F20" s="262">
        <v>556642.64</v>
      </c>
      <c r="G20" s="262">
        <f t="shared" si="0"/>
        <v>747395.36</v>
      </c>
      <c r="H20" s="262">
        <v>42.68</v>
      </c>
      <c r="I20" s="264">
        <v>0</v>
      </c>
      <c r="J20" s="262">
        <f t="shared" si="1"/>
        <v>1304038</v>
      </c>
      <c r="K20" s="262">
        <f t="shared" si="2"/>
        <v>1382280.28</v>
      </c>
      <c r="L20" s="269">
        <f t="shared" si="2"/>
        <v>1465217.0967999999</v>
      </c>
    </row>
    <row r="21" spans="1:12" s="1" customFormat="1" ht="14.25" x14ac:dyDescent="0.2">
      <c r="A21" s="5" t="s">
        <v>935</v>
      </c>
      <c r="B21" s="7" t="s">
        <v>34</v>
      </c>
      <c r="C21" s="29">
        <v>170000</v>
      </c>
      <c r="D21" s="11">
        <v>12521.76</v>
      </c>
      <c r="E21" s="282">
        <v>0</v>
      </c>
      <c r="F21" s="262">
        <v>81391.44</v>
      </c>
      <c r="G21" s="262">
        <f t="shared" si="0"/>
        <v>88608.56</v>
      </c>
      <c r="H21" s="262">
        <v>47.87</v>
      </c>
      <c r="I21" s="264">
        <v>12000</v>
      </c>
      <c r="J21" s="262">
        <f t="shared" si="1"/>
        <v>182000</v>
      </c>
      <c r="K21" s="262">
        <f t="shared" si="2"/>
        <v>192920</v>
      </c>
      <c r="L21" s="269">
        <f t="shared" si="2"/>
        <v>204495.2</v>
      </c>
    </row>
    <row r="22" spans="1:12" s="1" customFormat="1" ht="14.25" x14ac:dyDescent="0.2">
      <c r="A22" s="5" t="s">
        <v>936</v>
      </c>
      <c r="B22" s="7" t="s">
        <v>36</v>
      </c>
      <c r="C22" s="29">
        <v>109422</v>
      </c>
      <c r="D22" s="11">
        <v>9337.2999999999993</v>
      </c>
      <c r="E22" s="282">
        <v>0</v>
      </c>
      <c r="F22" s="262">
        <v>56023.8</v>
      </c>
      <c r="G22" s="262">
        <f t="shared" si="0"/>
        <v>53398.2</v>
      </c>
      <c r="H22" s="262">
        <v>51.19</v>
      </c>
      <c r="I22" s="264">
        <v>10000</v>
      </c>
      <c r="J22" s="262">
        <f t="shared" si="1"/>
        <v>119422</v>
      </c>
      <c r="K22" s="262">
        <f t="shared" si="2"/>
        <v>126587.32</v>
      </c>
      <c r="L22" s="269">
        <f t="shared" si="2"/>
        <v>134182.55920000002</v>
      </c>
    </row>
    <row r="23" spans="1:12" s="1" customFormat="1" ht="14.25" x14ac:dyDescent="0.2">
      <c r="A23" s="5" t="s">
        <v>937</v>
      </c>
      <c r="B23" s="7" t="s">
        <v>44</v>
      </c>
      <c r="C23" s="29">
        <v>0</v>
      </c>
      <c r="D23" s="11">
        <v>0</v>
      </c>
      <c r="E23" s="282">
        <v>0</v>
      </c>
      <c r="F23" s="262">
        <v>0</v>
      </c>
      <c r="G23" s="262">
        <f t="shared" si="0"/>
        <v>0</v>
      </c>
      <c r="H23" s="262">
        <v>0</v>
      </c>
      <c r="I23" s="264">
        <v>0</v>
      </c>
      <c r="J23" s="262">
        <f t="shared" si="1"/>
        <v>0</v>
      </c>
      <c r="K23" s="262">
        <f t="shared" si="2"/>
        <v>0</v>
      </c>
      <c r="L23" s="269">
        <f t="shared" si="2"/>
        <v>0</v>
      </c>
    </row>
    <row r="24" spans="1:12" s="1" customFormat="1" ht="14.25" x14ac:dyDescent="0.2">
      <c r="A24" s="5" t="s">
        <v>938</v>
      </c>
      <c r="B24" s="7" t="s">
        <v>46</v>
      </c>
      <c r="C24" s="29">
        <v>0</v>
      </c>
      <c r="D24" s="11">
        <v>0</v>
      </c>
      <c r="E24" s="282">
        <v>0</v>
      </c>
      <c r="F24" s="262">
        <v>0</v>
      </c>
      <c r="G24" s="262">
        <f t="shared" si="0"/>
        <v>0</v>
      </c>
      <c r="H24" s="262">
        <v>0</v>
      </c>
      <c r="I24" s="264">
        <v>0</v>
      </c>
      <c r="J24" s="262">
        <f t="shared" si="1"/>
        <v>0</v>
      </c>
      <c r="K24" s="262">
        <f t="shared" si="2"/>
        <v>0</v>
      </c>
      <c r="L24" s="269">
        <f t="shared" si="2"/>
        <v>0</v>
      </c>
    </row>
    <row r="25" spans="1:12" s="1" customFormat="1" ht="14.25" x14ac:dyDescent="0.2">
      <c r="A25" s="5" t="s">
        <v>939</v>
      </c>
      <c r="B25" s="7" t="s">
        <v>48</v>
      </c>
      <c r="C25" s="29">
        <v>0</v>
      </c>
      <c r="D25" s="11">
        <v>0</v>
      </c>
      <c r="E25" s="282">
        <v>0</v>
      </c>
      <c r="F25" s="262">
        <v>0</v>
      </c>
      <c r="G25" s="262">
        <f t="shared" si="0"/>
        <v>0</v>
      </c>
      <c r="H25" s="262">
        <v>0</v>
      </c>
      <c r="I25" s="264">
        <v>0</v>
      </c>
      <c r="J25" s="262">
        <f t="shared" si="1"/>
        <v>0</v>
      </c>
      <c r="K25" s="262">
        <f t="shared" si="2"/>
        <v>0</v>
      </c>
      <c r="L25" s="269">
        <f t="shared" si="2"/>
        <v>0</v>
      </c>
    </row>
    <row r="26" spans="1:12" s="1" customFormat="1" ht="14.25" x14ac:dyDescent="0.2">
      <c r="A26" s="5"/>
      <c r="B26" s="7"/>
      <c r="C26" s="29"/>
      <c r="D26" s="11"/>
      <c r="E26" s="282"/>
      <c r="F26" s="262"/>
      <c r="G26" s="262"/>
      <c r="H26" s="262"/>
      <c r="I26" s="264"/>
      <c r="J26" s="262"/>
      <c r="K26" s="262"/>
      <c r="L26" s="269"/>
    </row>
    <row r="27" spans="1:12" s="3" customFormat="1" x14ac:dyDescent="0.25">
      <c r="A27" s="18"/>
      <c r="B27" s="19" t="s">
        <v>49</v>
      </c>
      <c r="C27" s="28">
        <f>SUM(C10:C26)</f>
        <v>1837379</v>
      </c>
      <c r="D27" s="36">
        <f t="shared" ref="D27:G27" si="3">SUM(D10:D26)</f>
        <v>125162.94</v>
      </c>
      <c r="E27" s="276">
        <f t="shared" si="3"/>
        <v>0</v>
      </c>
      <c r="F27" s="261">
        <f t="shared" si="3"/>
        <v>800427.78</v>
      </c>
      <c r="G27" s="261">
        <f t="shared" si="3"/>
        <v>1036951.22</v>
      </c>
      <c r="H27" s="259">
        <v>43.56</v>
      </c>
      <c r="I27" s="265">
        <f t="shared" ref="I27:L27" si="4">SUM(I10:I26)</f>
        <v>27555</v>
      </c>
      <c r="J27" s="261">
        <f t="shared" si="4"/>
        <v>1864934</v>
      </c>
      <c r="K27" s="261">
        <f t="shared" si="4"/>
        <v>1976830.04</v>
      </c>
      <c r="L27" s="270">
        <f t="shared" si="4"/>
        <v>2095439.8424</v>
      </c>
    </row>
    <row r="28" spans="1:12" s="3" customFormat="1" x14ac:dyDescent="0.25">
      <c r="A28" s="18"/>
      <c r="B28" s="19"/>
      <c r="C28" s="28"/>
      <c r="D28" s="21"/>
      <c r="E28" s="281"/>
      <c r="F28" s="259"/>
      <c r="G28" s="259"/>
      <c r="H28" s="259"/>
      <c r="I28" s="260"/>
      <c r="J28" s="259"/>
      <c r="K28" s="259"/>
      <c r="L28" s="268"/>
    </row>
    <row r="29" spans="1:12" s="3" customFormat="1" x14ac:dyDescent="0.25">
      <c r="A29" s="18"/>
      <c r="B29" s="19" t="s">
        <v>50</v>
      </c>
      <c r="C29" s="28"/>
      <c r="D29" s="21"/>
      <c r="E29" s="281"/>
      <c r="F29" s="259"/>
      <c r="G29" s="259"/>
      <c r="H29" s="259"/>
      <c r="I29" s="260"/>
      <c r="J29" s="259"/>
      <c r="K29" s="259"/>
      <c r="L29" s="268"/>
    </row>
    <row r="30" spans="1:12" s="1" customFormat="1" ht="14.25" x14ac:dyDescent="0.2">
      <c r="A30" s="5"/>
      <c r="B30" s="7"/>
      <c r="C30" s="29"/>
      <c r="D30" s="11"/>
      <c r="E30" s="282"/>
      <c r="F30" s="262"/>
      <c r="G30" s="262"/>
      <c r="H30" s="262"/>
      <c r="I30" s="264"/>
      <c r="J30" s="262"/>
      <c r="K30" s="262"/>
      <c r="L30" s="269"/>
    </row>
    <row r="31" spans="1:12" s="1" customFormat="1" ht="14.25" x14ac:dyDescent="0.2">
      <c r="A31" s="5" t="s">
        <v>940</v>
      </c>
      <c r="B31" s="7" t="s">
        <v>53</v>
      </c>
      <c r="C31" s="29">
        <v>381</v>
      </c>
      <c r="D31" s="11">
        <v>29</v>
      </c>
      <c r="E31" s="282">
        <v>0</v>
      </c>
      <c r="F31" s="262">
        <v>174</v>
      </c>
      <c r="G31" s="262">
        <f t="shared" ref="G31:G36" si="5">C31-E31-F31</f>
        <v>207</v>
      </c>
      <c r="H31" s="262">
        <v>45.66</v>
      </c>
      <c r="I31" s="264">
        <v>0</v>
      </c>
      <c r="J31" s="262">
        <f t="shared" ref="J31:J36" si="6">C31+I31</f>
        <v>381</v>
      </c>
      <c r="K31" s="262">
        <f t="shared" ref="K31:L31" si="7">J31*6/100+J31</f>
        <v>403.86</v>
      </c>
      <c r="L31" s="269">
        <f t="shared" si="7"/>
        <v>428.09160000000003</v>
      </c>
    </row>
    <row r="32" spans="1:12" s="1" customFormat="1" ht="14.25" x14ac:dyDescent="0.2">
      <c r="A32" s="5" t="s">
        <v>941</v>
      </c>
      <c r="B32" s="7" t="s">
        <v>55</v>
      </c>
      <c r="C32" s="29">
        <v>8923</v>
      </c>
      <c r="D32" s="11">
        <v>559.42999999999995</v>
      </c>
      <c r="E32" s="282">
        <v>0</v>
      </c>
      <c r="F32" s="262">
        <v>3334.84</v>
      </c>
      <c r="G32" s="262">
        <f t="shared" si="5"/>
        <v>5588.16</v>
      </c>
      <c r="H32" s="262">
        <v>37.369999999999997</v>
      </c>
      <c r="I32" s="264">
        <v>0</v>
      </c>
      <c r="J32" s="262">
        <f t="shared" si="6"/>
        <v>8923</v>
      </c>
      <c r="K32" s="262">
        <f t="shared" ref="K32:L32" si="8">J32*6/100+J32</f>
        <v>9458.3799999999992</v>
      </c>
      <c r="L32" s="269">
        <f t="shared" si="8"/>
        <v>10025.882799999999</v>
      </c>
    </row>
    <row r="33" spans="1:12" s="1" customFormat="1" ht="14.25" x14ac:dyDescent="0.2">
      <c r="A33" s="5" t="s">
        <v>942</v>
      </c>
      <c r="B33" s="7" t="s">
        <v>57</v>
      </c>
      <c r="C33" s="29">
        <v>134382</v>
      </c>
      <c r="D33" s="11">
        <v>5500.8</v>
      </c>
      <c r="E33" s="282">
        <v>0</v>
      </c>
      <c r="F33" s="262">
        <v>33004.800000000003</v>
      </c>
      <c r="G33" s="262">
        <f t="shared" si="5"/>
        <v>101377.2</v>
      </c>
      <c r="H33" s="262">
        <v>24.56</v>
      </c>
      <c r="I33" s="264">
        <v>0</v>
      </c>
      <c r="J33" s="262">
        <f t="shared" si="6"/>
        <v>134382</v>
      </c>
      <c r="K33" s="262">
        <f t="shared" ref="K33:L33" si="9">J33*6/100+J33</f>
        <v>142444.92000000001</v>
      </c>
      <c r="L33" s="269">
        <f t="shared" si="9"/>
        <v>150991.6152</v>
      </c>
    </row>
    <row r="34" spans="1:12" s="1" customFormat="1" ht="14.25" x14ac:dyDescent="0.2">
      <c r="A34" s="5" t="s">
        <v>943</v>
      </c>
      <c r="B34" s="7" t="s">
        <v>59</v>
      </c>
      <c r="C34" s="29">
        <v>286888</v>
      </c>
      <c r="D34" s="11">
        <v>20570.34</v>
      </c>
      <c r="E34" s="282">
        <v>0</v>
      </c>
      <c r="F34" s="262">
        <v>122461.36</v>
      </c>
      <c r="G34" s="262">
        <f t="shared" si="5"/>
        <v>164426.64000000001</v>
      </c>
      <c r="H34" s="262">
        <v>42.68</v>
      </c>
      <c r="I34" s="264">
        <v>0</v>
      </c>
      <c r="J34" s="262">
        <f t="shared" si="6"/>
        <v>286888</v>
      </c>
      <c r="K34" s="262">
        <f t="shared" ref="K34:L34" si="10">J34*6/100+J34</f>
        <v>304101.28000000003</v>
      </c>
      <c r="L34" s="269">
        <f t="shared" si="10"/>
        <v>322347.35680000001</v>
      </c>
    </row>
    <row r="35" spans="1:12" s="1" customFormat="1" ht="14.25" x14ac:dyDescent="0.2">
      <c r="A35" s="5" t="s">
        <v>944</v>
      </c>
      <c r="B35" s="7" t="s">
        <v>60</v>
      </c>
      <c r="C35" s="29">
        <v>0</v>
      </c>
      <c r="D35" s="11">
        <v>0</v>
      </c>
      <c r="E35" s="282">
        <v>0</v>
      </c>
      <c r="F35" s="262">
        <v>0</v>
      </c>
      <c r="G35" s="262">
        <f t="shared" si="5"/>
        <v>0</v>
      </c>
      <c r="H35" s="262">
        <v>0</v>
      </c>
      <c r="I35" s="264">
        <v>0</v>
      </c>
      <c r="J35" s="262">
        <f t="shared" si="6"/>
        <v>0</v>
      </c>
      <c r="K35" s="262">
        <f t="shared" ref="K35:L35" si="11">J35*6/100+J35</f>
        <v>0</v>
      </c>
      <c r="L35" s="269">
        <f t="shared" si="11"/>
        <v>0</v>
      </c>
    </row>
    <row r="36" spans="1:12" s="1" customFormat="1" ht="14.25" x14ac:dyDescent="0.2">
      <c r="A36" s="5" t="s">
        <v>945</v>
      </c>
      <c r="B36" s="7" t="s">
        <v>62</v>
      </c>
      <c r="C36" s="29">
        <v>26081</v>
      </c>
      <c r="D36" s="11">
        <v>1211.31</v>
      </c>
      <c r="E36" s="282">
        <v>0</v>
      </c>
      <c r="F36" s="262">
        <v>7754.1</v>
      </c>
      <c r="G36" s="262">
        <f t="shared" si="5"/>
        <v>18326.900000000001</v>
      </c>
      <c r="H36" s="262">
        <v>29.73</v>
      </c>
      <c r="I36" s="264">
        <v>0</v>
      </c>
      <c r="J36" s="262">
        <f t="shared" si="6"/>
        <v>26081</v>
      </c>
      <c r="K36" s="262">
        <f t="shared" ref="K36:L36" si="12">J36*6/100+J36</f>
        <v>27645.86</v>
      </c>
      <c r="L36" s="269">
        <f t="shared" si="12"/>
        <v>29304.6116</v>
      </c>
    </row>
    <row r="37" spans="1:12" s="1" customFormat="1" ht="14.25" x14ac:dyDescent="0.2">
      <c r="A37" s="5"/>
      <c r="B37" s="7"/>
      <c r="C37" s="29"/>
      <c r="D37" s="11"/>
      <c r="E37" s="282"/>
      <c r="F37" s="262"/>
      <c r="G37" s="262"/>
      <c r="H37" s="262"/>
      <c r="I37" s="264"/>
      <c r="J37" s="262"/>
      <c r="K37" s="262">
        <f t="shared" ref="K37:L37" si="13">J37*6/100+J37</f>
        <v>0</v>
      </c>
      <c r="L37" s="269">
        <f t="shared" si="13"/>
        <v>0</v>
      </c>
    </row>
    <row r="38" spans="1:12" s="3" customFormat="1" x14ac:dyDescent="0.25">
      <c r="A38" s="18"/>
      <c r="B38" s="19" t="s">
        <v>63</v>
      </c>
      <c r="C38" s="28">
        <f>SUM(C31:C37)</f>
        <v>456655</v>
      </c>
      <c r="D38" s="36">
        <f t="shared" ref="D38:G38" si="14">SUM(D31:D37)</f>
        <v>27870.880000000001</v>
      </c>
      <c r="E38" s="276">
        <f t="shared" si="14"/>
        <v>0</v>
      </c>
      <c r="F38" s="261">
        <f t="shared" si="14"/>
        <v>166729.1</v>
      </c>
      <c r="G38" s="261">
        <f t="shared" si="14"/>
        <v>289925.90000000002</v>
      </c>
      <c r="H38" s="259">
        <v>36.51</v>
      </c>
      <c r="I38" s="265">
        <f t="shared" ref="I38:L38" si="15">SUM(I31:I37)</f>
        <v>0</v>
      </c>
      <c r="J38" s="261">
        <f t="shared" si="15"/>
        <v>456655</v>
      </c>
      <c r="K38" s="261">
        <f t="shared" si="15"/>
        <v>484054.30000000005</v>
      </c>
      <c r="L38" s="270">
        <f t="shared" si="15"/>
        <v>513097.55800000002</v>
      </c>
    </row>
    <row r="39" spans="1:12" s="3" customFormat="1" x14ac:dyDescent="0.25">
      <c r="A39" s="18"/>
      <c r="B39" s="19"/>
      <c r="C39" s="28"/>
      <c r="D39" s="21"/>
      <c r="E39" s="281"/>
      <c r="F39" s="259"/>
      <c r="G39" s="259"/>
      <c r="H39" s="259"/>
      <c r="I39" s="260"/>
      <c r="J39" s="259"/>
      <c r="K39" s="259"/>
      <c r="L39" s="268"/>
    </row>
    <row r="40" spans="1:12" s="3" customFormat="1" x14ac:dyDescent="0.25">
      <c r="A40" s="18"/>
      <c r="B40" s="19" t="s">
        <v>73</v>
      </c>
      <c r="C40" s="28">
        <f>C27+C38</f>
        <v>2294034</v>
      </c>
      <c r="D40" s="36">
        <f t="shared" ref="D40:L40" si="16">D27+D38</f>
        <v>153033.82</v>
      </c>
      <c r="E40" s="276">
        <f t="shared" si="16"/>
        <v>0</v>
      </c>
      <c r="F40" s="261">
        <f t="shared" si="16"/>
        <v>967156.88</v>
      </c>
      <c r="G40" s="261">
        <f t="shared" si="16"/>
        <v>1326877.1200000001</v>
      </c>
      <c r="H40" s="259">
        <v>42.15</v>
      </c>
      <c r="I40" s="265">
        <f t="shared" si="16"/>
        <v>27555</v>
      </c>
      <c r="J40" s="261">
        <f t="shared" si="16"/>
        <v>2321589</v>
      </c>
      <c r="K40" s="261">
        <f t="shared" si="16"/>
        <v>2460884.34</v>
      </c>
      <c r="L40" s="270">
        <f t="shared" si="16"/>
        <v>2608537.4004000002</v>
      </c>
    </row>
    <row r="41" spans="1:12" s="3" customFormat="1" x14ac:dyDescent="0.25">
      <c r="A41" s="18"/>
      <c r="B41" s="19"/>
      <c r="C41" s="28"/>
      <c r="D41" s="21"/>
      <c r="E41" s="281"/>
      <c r="F41" s="259"/>
      <c r="G41" s="259"/>
      <c r="H41" s="259"/>
      <c r="I41" s="260"/>
      <c r="J41" s="259"/>
      <c r="K41" s="259"/>
      <c r="L41" s="268"/>
    </row>
    <row r="42" spans="1:12" s="3" customFormat="1" x14ac:dyDescent="0.25">
      <c r="A42" s="18"/>
      <c r="B42" s="19" t="s">
        <v>74</v>
      </c>
      <c r="C42" s="28"/>
      <c r="D42" s="21"/>
      <c r="E42" s="281"/>
      <c r="F42" s="259"/>
      <c r="G42" s="259"/>
      <c r="H42" s="259"/>
      <c r="I42" s="260"/>
      <c r="J42" s="259"/>
      <c r="K42" s="259"/>
      <c r="L42" s="268"/>
    </row>
    <row r="43" spans="1:12" s="3" customFormat="1" x14ac:dyDescent="0.25">
      <c r="A43" s="18"/>
      <c r="B43" s="19"/>
      <c r="C43" s="28"/>
      <c r="D43" s="21"/>
      <c r="E43" s="281"/>
      <c r="F43" s="259"/>
      <c r="G43" s="259"/>
      <c r="H43" s="259"/>
      <c r="I43" s="260"/>
      <c r="J43" s="259"/>
      <c r="K43" s="259"/>
      <c r="L43" s="268"/>
    </row>
    <row r="44" spans="1:12" s="3" customFormat="1" x14ac:dyDescent="0.25">
      <c r="A44" s="18"/>
      <c r="B44" s="19" t="s">
        <v>75</v>
      </c>
      <c r="C44" s="28"/>
      <c r="D44" s="21"/>
      <c r="E44" s="281"/>
      <c r="F44" s="259"/>
      <c r="G44" s="259"/>
      <c r="H44" s="259"/>
      <c r="I44" s="260"/>
      <c r="J44" s="259"/>
      <c r="K44" s="259"/>
      <c r="L44" s="268"/>
    </row>
    <row r="45" spans="1:12" s="3" customFormat="1" x14ac:dyDescent="0.25">
      <c r="A45" s="18"/>
      <c r="B45" s="19"/>
      <c r="C45" s="28"/>
      <c r="D45" s="21"/>
      <c r="E45" s="281"/>
      <c r="F45" s="259"/>
      <c r="G45" s="259"/>
      <c r="H45" s="259"/>
      <c r="I45" s="260"/>
      <c r="J45" s="259"/>
      <c r="K45" s="259"/>
      <c r="L45" s="268"/>
    </row>
    <row r="46" spans="1:12" s="43" customFormat="1" ht="14.25" x14ac:dyDescent="0.2">
      <c r="A46" s="40" t="s">
        <v>946</v>
      </c>
      <c r="B46" s="41" t="s">
        <v>201</v>
      </c>
      <c r="C46" s="42">
        <v>0</v>
      </c>
      <c r="D46" s="35">
        <v>0</v>
      </c>
      <c r="E46" s="306">
        <v>0</v>
      </c>
      <c r="F46" s="294">
        <v>0</v>
      </c>
      <c r="G46" s="294">
        <v>0</v>
      </c>
      <c r="H46" s="294">
        <v>0</v>
      </c>
      <c r="I46" s="295">
        <v>0</v>
      </c>
      <c r="J46" s="294">
        <f>C46+I46</f>
        <v>0</v>
      </c>
      <c r="K46" s="262">
        <f t="shared" ref="K46:L47" si="17">J46*6/100+J46</f>
        <v>0</v>
      </c>
      <c r="L46" s="269">
        <f t="shared" si="17"/>
        <v>0</v>
      </c>
    </row>
    <row r="47" spans="1:12" s="43" customFormat="1" ht="14.25" x14ac:dyDescent="0.2">
      <c r="A47" s="40"/>
      <c r="B47" s="41" t="s">
        <v>191</v>
      </c>
      <c r="C47" s="42"/>
      <c r="D47" s="35"/>
      <c r="E47" s="306"/>
      <c r="F47" s="294"/>
      <c r="G47" s="294"/>
      <c r="H47" s="294"/>
      <c r="I47" s="295">
        <v>100000</v>
      </c>
      <c r="J47" s="294">
        <f t="shared" ref="J47:J49" si="18">C47+I47</f>
        <v>100000</v>
      </c>
      <c r="K47" s="262">
        <f t="shared" si="17"/>
        <v>106000</v>
      </c>
      <c r="L47" s="269">
        <f t="shared" si="17"/>
        <v>112360</v>
      </c>
    </row>
    <row r="48" spans="1:12" s="1" customFormat="1" ht="14.25" x14ac:dyDescent="0.2">
      <c r="A48" s="5"/>
      <c r="B48" s="7" t="s">
        <v>466</v>
      </c>
      <c r="C48" s="29">
        <v>0</v>
      </c>
      <c r="D48" s="11">
        <v>0</v>
      </c>
      <c r="E48" s="282">
        <v>0</v>
      </c>
      <c r="F48" s="262">
        <v>0</v>
      </c>
      <c r="G48" s="262">
        <f>C48-E48-F48</f>
        <v>0</v>
      </c>
      <c r="H48" s="262">
        <v>0</v>
      </c>
      <c r="I48" s="264">
        <v>1000000</v>
      </c>
      <c r="J48" s="262">
        <f>C48+I48</f>
        <v>1000000</v>
      </c>
      <c r="K48" s="262">
        <v>0</v>
      </c>
      <c r="L48" s="269">
        <v>0</v>
      </c>
    </row>
    <row r="49" spans="1:12" s="1" customFormat="1" ht="14.25" x14ac:dyDescent="0.2">
      <c r="A49" s="5" t="s">
        <v>947</v>
      </c>
      <c r="B49" s="7" t="s">
        <v>262</v>
      </c>
      <c r="C49" s="29">
        <v>0</v>
      </c>
      <c r="D49" s="11">
        <v>0</v>
      </c>
      <c r="E49" s="282">
        <v>0</v>
      </c>
      <c r="F49" s="262">
        <v>0</v>
      </c>
      <c r="G49" s="262">
        <v>0</v>
      </c>
      <c r="H49" s="262">
        <v>0</v>
      </c>
      <c r="I49" s="264">
        <v>0</v>
      </c>
      <c r="J49" s="294">
        <f t="shared" si="18"/>
        <v>0</v>
      </c>
      <c r="K49" s="262"/>
      <c r="L49" s="269"/>
    </row>
    <row r="50" spans="1:12" s="1" customFormat="1" ht="14.25" x14ac:dyDescent="0.2">
      <c r="A50" s="5"/>
      <c r="B50" s="7"/>
      <c r="C50" s="29"/>
      <c r="D50" s="11"/>
      <c r="E50" s="282"/>
      <c r="F50" s="262"/>
      <c r="G50" s="262"/>
      <c r="H50" s="262"/>
      <c r="I50" s="264"/>
      <c r="J50" s="262"/>
      <c r="K50" s="262"/>
      <c r="L50" s="269"/>
    </row>
    <row r="51" spans="1:12" s="3" customFormat="1" x14ac:dyDescent="0.25">
      <c r="A51" s="18"/>
      <c r="B51" s="19" t="s">
        <v>287</v>
      </c>
      <c r="C51" s="28">
        <f>SUM(C46:C50)</f>
        <v>0</v>
      </c>
      <c r="D51" s="36">
        <f>SUM(D46:D50)</f>
        <v>0</v>
      </c>
      <c r="E51" s="276">
        <f>SUM(E46:E50)</f>
        <v>0</v>
      </c>
      <c r="F51" s="261">
        <f>SUM(F46:F50)</f>
        <v>0</v>
      </c>
      <c r="G51" s="261">
        <f>SUM(G46:G50)</f>
        <v>0</v>
      </c>
      <c r="H51" s="259">
        <v>0</v>
      </c>
      <c r="I51" s="265">
        <f>SUM(I46:I50)</f>
        <v>1100000</v>
      </c>
      <c r="J51" s="261">
        <f>SUM(J46:J50)</f>
        <v>1100000</v>
      </c>
      <c r="K51" s="261">
        <f>SUM(K46:K50)</f>
        <v>106000</v>
      </c>
      <c r="L51" s="270">
        <f>SUM(L46:L50)</f>
        <v>112360</v>
      </c>
    </row>
    <row r="52" spans="1:12" s="3" customFormat="1" x14ac:dyDescent="0.25">
      <c r="A52" s="18"/>
      <c r="B52" s="19"/>
      <c r="C52" s="28"/>
      <c r="D52" s="21"/>
      <c r="E52" s="281"/>
      <c r="F52" s="259"/>
      <c r="G52" s="259"/>
      <c r="H52" s="259"/>
      <c r="I52" s="260"/>
      <c r="J52" s="259"/>
      <c r="K52" s="259"/>
      <c r="L52" s="268"/>
    </row>
    <row r="53" spans="1:12" s="3" customFormat="1" x14ac:dyDescent="0.25">
      <c r="A53" s="18"/>
      <c r="B53" s="19" t="s">
        <v>292</v>
      </c>
      <c r="C53" s="28">
        <v>0</v>
      </c>
      <c r="D53" s="21">
        <v>0</v>
      </c>
      <c r="E53" s="281">
        <v>0</v>
      </c>
      <c r="F53" s="259">
        <v>0</v>
      </c>
      <c r="G53" s="259">
        <v>0</v>
      </c>
      <c r="H53" s="259">
        <v>0</v>
      </c>
      <c r="I53" s="260">
        <v>0</v>
      </c>
      <c r="J53" s="259"/>
      <c r="K53" s="259"/>
      <c r="L53" s="268"/>
    </row>
    <row r="54" spans="1:12" s="3" customFormat="1" x14ac:dyDescent="0.25">
      <c r="A54" s="18"/>
      <c r="B54" s="19"/>
      <c r="C54" s="28"/>
      <c r="D54" s="21"/>
      <c r="E54" s="281"/>
      <c r="F54" s="259"/>
      <c r="G54" s="259"/>
      <c r="H54" s="259"/>
      <c r="I54" s="260"/>
      <c r="J54" s="259"/>
      <c r="K54" s="259"/>
      <c r="L54" s="268"/>
    </row>
    <row r="55" spans="1:12" s="3" customFormat="1" x14ac:dyDescent="0.25">
      <c r="A55" s="18"/>
      <c r="B55" s="19" t="s">
        <v>1009</v>
      </c>
      <c r="C55" s="28"/>
      <c r="D55" s="21"/>
      <c r="E55" s="281"/>
      <c r="F55" s="259"/>
      <c r="G55" s="259"/>
      <c r="H55" s="259"/>
      <c r="I55" s="260"/>
      <c r="J55" s="259"/>
      <c r="K55" s="259"/>
      <c r="L55" s="268"/>
    </row>
    <row r="56" spans="1:12" s="3" customFormat="1" x14ac:dyDescent="0.25">
      <c r="A56" s="18"/>
      <c r="B56" s="19"/>
      <c r="C56" s="28"/>
      <c r="D56" s="21"/>
      <c r="E56" s="281"/>
      <c r="F56" s="259"/>
      <c r="G56" s="259"/>
      <c r="H56" s="259"/>
      <c r="I56" s="260"/>
      <c r="J56" s="259"/>
      <c r="K56" s="259"/>
      <c r="L56" s="268"/>
    </row>
    <row r="57" spans="1:12" s="1" customFormat="1" ht="14.25" x14ac:dyDescent="0.2">
      <c r="A57" s="5" t="s">
        <v>948</v>
      </c>
      <c r="B57" s="7" t="s">
        <v>302</v>
      </c>
      <c r="C57" s="29">
        <v>287500</v>
      </c>
      <c r="D57" s="11">
        <v>186200</v>
      </c>
      <c r="E57" s="282">
        <v>12000</v>
      </c>
      <c r="F57" s="262">
        <v>214026.66</v>
      </c>
      <c r="G57" s="262">
        <f t="shared" ref="G57:G60" si="19">C57-E57-F57</f>
        <v>61473.34</v>
      </c>
      <c r="H57" s="262">
        <v>74.44</v>
      </c>
      <c r="I57" s="264">
        <v>200000</v>
      </c>
      <c r="J57" s="262">
        <f t="shared" ref="J57:J60" si="20">C57+I57</f>
        <v>487500</v>
      </c>
      <c r="K57" s="262">
        <f t="shared" ref="K57:L57" si="21">J57*6/100+J57</f>
        <v>516750</v>
      </c>
      <c r="L57" s="269">
        <f t="shared" si="21"/>
        <v>547755</v>
      </c>
    </row>
    <row r="58" spans="1:12" s="1" customFormat="1" ht="14.25" x14ac:dyDescent="0.2">
      <c r="A58" s="5" t="s">
        <v>949</v>
      </c>
      <c r="B58" s="7" t="s">
        <v>312</v>
      </c>
      <c r="C58" s="29">
        <v>62500</v>
      </c>
      <c r="D58" s="11">
        <v>0</v>
      </c>
      <c r="E58" s="282">
        <v>16851.78</v>
      </c>
      <c r="F58" s="262">
        <v>0</v>
      </c>
      <c r="G58" s="262">
        <f t="shared" si="19"/>
        <v>45648.22</v>
      </c>
      <c r="H58" s="262">
        <v>0</v>
      </c>
      <c r="I58" s="264">
        <v>-30000</v>
      </c>
      <c r="J58" s="262">
        <f t="shared" si="20"/>
        <v>32500</v>
      </c>
      <c r="K58" s="262">
        <f t="shared" ref="K58:L58" si="22">J58*6/100+J58</f>
        <v>34450</v>
      </c>
      <c r="L58" s="269">
        <f t="shared" si="22"/>
        <v>36517</v>
      </c>
    </row>
    <row r="59" spans="1:12" s="1" customFormat="1" ht="14.25" x14ac:dyDescent="0.2">
      <c r="A59" s="5" t="s">
        <v>950</v>
      </c>
      <c r="B59" s="7" t="s">
        <v>314</v>
      </c>
      <c r="C59" s="29">
        <v>31740</v>
      </c>
      <c r="D59" s="11">
        <v>19380</v>
      </c>
      <c r="E59" s="282">
        <v>0</v>
      </c>
      <c r="F59" s="262">
        <v>19380</v>
      </c>
      <c r="G59" s="262">
        <f t="shared" si="19"/>
        <v>12360</v>
      </c>
      <c r="H59" s="262">
        <v>61.05</v>
      </c>
      <c r="I59" s="264">
        <v>30000</v>
      </c>
      <c r="J59" s="262">
        <f t="shared" si="20"/>
        <v>61740</v>
      </c>
      <c r="K59" s="262">
        <f t="shared" ref="K59:L59" si="23">J59*6/100+J59</f>
        <v>65444.4</v>
      </c>
      <c r="L59" s="269">
        <f t="shared" si="23"/>
        <v>69371.063999999998</v>
      </c>
    </row>
    <row r="60" spans="1:12" s="1" customFormat="1" ht="14.25" x14ac:dyDescent="0.2">
      <c r="A60" s="5" t="s">
        <v>951</v>
      </c>
      <c r="B60" s="7" t="s">
        <v>321</v>
      </c>
      <c r="C60" s="29">
        <v>104872</v>
      </c>
      <c r="D60" s="11">
        <v>0</v>
      </c>
      <c r="E60" s="282">
        <v>0</v>
      </c>
      <c r="F60" s="262">
        <v>0</v>
      </c>
      <c r="G60" s="262">
        <f t="shared" si="19"/>
        <v>104872</v>
      </c>
      <c r="H60" s="262">
        <v>0</v>
      </c>
      <c r="I60" s="264">
        <v>0</v>
      </c>
      <c r="J60" s="262">
        <f t="shared" si="20"/>
        <v>104872</v>
      </c>
      <c r="K60" s="262">
        <f t="shared" ref="K60:L60" si="24">J60*6/100+J60</f>
        <v>111164.32</v>
      </c>
      <c r="L60" s="269">
        <f t="shared" si="24"/>
        <v>117834.17920000001</v>
      </c>
    </row>
    <row r="61" spans="1:12" s="1" customFormat="1" ht="14.25" x14ac:dyDescent="0.2">
      <c r="A61" s="5"/>
      <c r="B61" s="7"/>
      <c r="C61" s="29"/>
      <c r="D61" s="11"/>
      <c r="E61" s="282"/>
      <c r="F61" s="262"/>
      <c r="G61" s="262"/>
      <c r="H61" s="262"/>
      <c r="I61" s="264"/>
      <c r="J61" s="262"/>
      <c r="K61" s="262"/>
      <c r="L61" s="269"/>
    </row>
    <row r="62" spans="1:12" s="3" customFormat="1" x14ac:dyDescent="0.25">
      <c r="A62" s="18"/>
      <c r="B62" s="19" t="s">
        <v>1003</v>
      </c>
      <c r="C62" s="28">
        <f>SUM(C57:C61)</f>
        <v>486612</v>
      </c>
      <c r="D62" s="36">
        <f t="shared" ref="D62:G62" si="25">SUM(D57:D61)</f>
        <v>205580</v>
      </c>
      <c r="E62" s="276">
        <f t="shared" si="25"/>
        <v>28851.78</v>
      </c>
      <c r="F62" s="261">
        <f t="shared" si="25"/>
        <v>233406.66</v>
      </c>
      <c r="G62" s="261">
        <f t="shared" si="25"/>
        <v>224353.56</v>
      </c>
      <c r="H62" s="259">
        <v>47.96</v>
      </c>
      <c r="I62" s="265">
        <f t="shared" ref="I62:L62" si="26">SUM(I57:I61)</f>
        <v>200000</v>
      </c>
      <c r="J62" s="261">
        <f t="shared" si="26"/>
        <v>686612</v>
      </c>
      <c r="K62" s="261">
        <f t="shared" si="26"/>
        <v>727808.72</v>
      </c>
      <c r="L62" s="270">
        <f t="shared" si="26"/>
        <v>771477.24320000003</v>
      </c>
    </row>
    <row r="63" spans="1:12" s="3" customFormat="1" x14ac:dyDescent="0.25">
      <c r="A63" s="18"/>
      <c r="B63" s="19"/>
      <c r="C63" s="28"/>
      <c r="D63" s="21"/>
      <c r="E63" s="281"/>
      <c r="F63" s="259"/>
      <c r="G63" s="259"/>
      <c r="H63" s="259"/>
      <c r="I63" s="260"/>
      <c r="J63" s="259"/>
      <c r="K63" s="259"/>
      <c r="L63" s="268"/>
    </row>
    <row r="64" spans="1:12" s="3" customFormat="1" x14ac:dyDescent="0.25">
      <c r="A64" s="18"/>
      <c r="B64" s="19" t="s">
        <v>338</v>
      </c>
      <c r="C64" s="28">
        <f>C40+C51+C62</f>
        <v>2780646</v>
      </c>
      <c r="D64" s="36">
        <f>D40+D51+D62</f>
        <v>358613.82</v>
      </c>
      <c r="E64" s="276">
        <f>E40+E51+E62</f>
        <v>28851.78</v>
      </c>
      <c r="F64" s="261">
        <f>F40+F51+F62</f>
        <v>1200563.54</v>
      </c>
      <c r="G64" s="261">
        <f>G40+G51+G62</f>
        <v>1551230.6800000002</v>
      </c>
      <c r="H64" s="259">
        <v>43.17</v>
      </c>
      <c r="I64" s="265">
        <f>I40+I51+I62</f>
        <v>1327555</v>
      </c>
      <c r="J64" s="261">
        <f>J40+J51+J62</f>
        <v>4108201</v>
      </c>
      <c r="K64" s="261">
        <f>K40+K51+K62</f>
        <v>3294693.0599999996</v>
      </c>
      <c r="L64" s="270">
        <f>L40+L51+L62</f>
        <v>3492374.6436000001</v>
      </c>
    </row>
    <row r="65" spans="1:12" s="1" customFormat="1" ht="14.25" x14ac:dyDescent="0.2">
      <c r="A65" s="5"/>
      <c r="B65" s="7"/>
      <c r="C65" s="29"/>
      <c r="D65" s="11"/>
      <c r="E65" s="282"/>
      <c r="F65" s="262"/>
      <c r="G65" s="262"/>
      <c r="H65" s="262"/>
      <c r="I65" s="264"/>
      <c r="J65" s="262"/>
      <c r="K65" s="262"/>
      <c r="L65" s="269"/>
    </row>
    <row r="66" spans="1:12" s="3" customFormat="1" x14ac:dyDescent="0.25">
      <c r="A66" s="18"/>
      <c r="B66" s="19" t="s">
        <v>339</v>
      </c>
      <c r="C66" s="28">
        <f>C64</f>
        <v>2780646</v>
      </c>
      <c r="D66" s="36">
        <f t="shared" ref="D66:G66" si="27">D64</f>
        <v>358613.82</v>
      </c>
      <c r="E66" s="276">
        <f t="shared" si="27"/>
        <v>28851.78</v>
      </c>
      <c r="F66" s="261">
        <f t="shared" si="27"/>
        <v>1200563.54</v>
      </c>
      <c r="G66" s="261">
        <f t="shared" si="27"/>
        <v>1551230.6800000002</v>
      </c>
      <c r="H66" s="259">
        <v>43.17</v>
      </c>
      <c r="I66" s="265">
        <f t="shared" ref="I66:L66" si="28">I64</f>
        <v>1327555</v>
      </c>
      <c r="J66" s="261">
        <f t="shared" si="28"/>
        <v>4108201</v>
      </c>
      <c r="K66" s="261">
        <f t="shared" si="28"/>
        <v>3294693.0599999996</v>
      </c>
      <c r="L66" s="270">
        <f t="shared" si="28"/>
        <v>3492374.6436000001</v>
      </c>
    </row>
    <row r="67" spans="1:12" s="3" customFormat="1" x14ac:dyDescent="0.25">
      <c r="A67" s="18"/>
      <c r="B67" s="19"/>
      <c r="C67" s="28"/>
      <c r="D67" s="21"/>
      <c r="E67" s="281"/>
      <c r="F67" s="259"/>
      <c r="G67" s="259"/>
      <c r="H67" s="259"/>
      <c r="I67" s="260"/>
      <c r="J67" s="259"/>
      <c r="K67" s="259"/>
      <c r="L67" s="268"/>
    </row>
    <row r="68" spans="1:12" s="3" customFormat="1" x14ac:dyDescent="0.25">
      <c r="A68" s="18"/>
      <c r="B68" s="19" t="s">
        <v>340</v>
      </c>
      <c r="C68" s="28"/>
      <c r="D68" s="21"/>
      <c r="E68" s="281"/>
      <c r="F68" s="259"/>
      <c r="G68" s="259"/>
      <c r="H68" s="259"/>
      <c r="I68" s="260"/>
      <c r="J68" s="259"/>
      <c r="K68" s="259"/>
      <c r="L68" s="268"/>
    </row>
    <row r="69" spans="1:12" s="3" customFormat="1" x14ac:dyDescent="0.25">
      <c r="A69" s="18"/>
      <c r="B69" s="19"/>
      <c r="C69" s="28"/>
      <c r="D69" s="21"/>
      <c r="E69" s="281"/>
      <c r="F69" s="259"/>
      <c r="G69" s="259"/>
      <c r="H69" s="259"/>
      <c r="I69" s="260"/>
      <c r="J69" s="259"/>
      <c r="K69" s="259"/>
      <c r="L69" s="268"/>
    </row>
    <row r="70" spans="1:12" s="3" customFormat="1" x14ac:dyDescent="0.25">
      <c r="A70" s="18"/>
      <c r="B70" s="19" t="s">
        <v>345</v>
      </c>
      <c r="C70" s="28"/>
      <c r="D70" s="21"/>
      <c r="E70" s="281"/>
      <c r="F70" s="259"/>
      <c r="G70" s="259"/>
      <c r="H70" s="259"/>
      <c r="I70" s="260"/>
      <c r="J70" s="259"/>
      <c r="K70" s="259"/>
      <c r="L70" s="268"/>
    </row>
    <row r="71" spans="1:12" s="3" customFormat="1" x14ac:dyDescent="0.25">
      <c r="A71" s="18"/>
      <c r="B71" s="19"/>
      <c r="C71" s="28"/>
      <c r="D71" s="21"/>
      <c r="E71" s="281"/>
      <c r="F71" s="259"/>
      <c r="G71" s="259"/>
      <c r="H71" s="259"/>
      <c r="I71" s="260"/>
      <c r="J71" s="259"/>
      <c r="K71" s="259"/>
      <c r="L71" s="268"/>
    </row>
    <row r="72" spans="1:12" s="1" customFormat="1" ht="14.25" x14ac:dyDescent="0.2">
      <c r="A72" s="5" t="s">
        <v>952</v>
      </c>
      <c r="B72" s="7" t="s">
        <v>347</v>
      </c>
      <c r="C72" s="29">
        <v>-243156</v>
      </c>
      <c r="D72" s="11">
        <v>0</v>
      </c>
      <c r="E72" s="282">
        <v>0</v>
      </c>
      <c r="F72" s="262">
        <v>192417.71</v>
      </c>
      <c r="G72" s="262">
        <v>-435573.71</v>
      </c>
      <c r="H72" s="262">
        <v>-79.13</v>
      </c>
      <c r="I72" s="264">
        <v>-307295.24</v>
      </c>
      <c r="J72" s="262">
        <f t="shared" ref="J72:J73" si="29">C72+I72</f>
        <v>-550451.24</v>
      </c>
      <c r="K72" s="262">
        <f t="shared" ref="K72:L72" si="30">J72*6/100+J72</f>
        <v>-583478.31440000003</v>
      </c>
      <c r="L72" s="269">
        <f t="shared" si="30"/>
        <v>-618487.01326400007</v>
      </c>
    </row>
    <row r="73" spans="1:12" s="1" customFormat="1" ht="14.25" x14ac:dyDescent="0.2">
      <c r="A73" s="5" t="s">
        <v>953</v>
      </c>
      <c r="B73" s="7" t="s">
        <v>349</v>
      </c>
      <c r="C73" s="29">
        <v>-10506531</v>
      </c>
      <c r="D73" s="11">
        <v>-393243.86</v>
      </c>
      <c r="E73" s="282">
        <v>0</v>
      </c>
      <c r="F73" s="262">
        <v>-2666454.58</v>
      </c>
      <c r="G73" s="262">
        <v>-7840076.4199999999</v>
      </c>
      <c r="H73" s="262">
        <v>25.37</v>
      </c>
      <c r="I73" s="264">
        <v>1500000</v>
      </c>
      <c r="J73" s="262">
        <f t="shared" si="29"/>
        <v>-9006531</v>
      </c>
      <c r="K73" s="262">
        <f t="shared" ref="K73:L73" si="31">J73*6/100+J73</f>
        <v>-9546922.8599999994</v>
      </c>
      <c r="L73" s="269">
        <f t="shared" si="31"/>
        <v>-10119738.2316</v>
      </c>
    </row>
    <row r="74" spans="1:12" s="1" customFormat="1" ht="14.25" x14ac:dyDescent="0.2">
      <c r="A74" s="5"/>
      <c r="B74" s="7"/>
      <c r="C74" s="29"/>
      <c r="D74" s="11"/>
      <c r="E74" s="282"/>
      <c r="F74" s="262"/>
      <c r="G74" s="262"/>
      <c r="H74" s="262"/>
      <c r="I74" s="264"/>
      <c r="J74" s="262"/>
      <c r="K74" s="262"/>
      <c r="L74" s="269"/>
    </row>
    <row r="75" spans="1:12" s="3" customFormat="1" x14ac:dyDescent="0.25">
      <c r="A75" s="18"/>
      <c r="B75" s="19" t="s">
        <v>352</v>
      </c>
      <c r="C75" s="28">
        <f>SUM(C72:C74)</f>
        <v>-10749687</v>
      </c>
      <c r="D75" s="36">
        <f t="shared" ref="D75:G75" si="32">SUM(D72:D74)</f>
        <v>-393243.86</v>
      </c>
      <c r="E75" s="276">
        <f t="shared" si="32"/>
        <v>0</v>
      </c>
      <c r="F75" s="261">
        <f t="shared" si="32"/>
        <v>-2474036.87</v>
      </c>
      <c r="G75" s="261">
        <f t="shared" si="32"/>
        <v>-8275650.1299999999</v>
      </c>
      <c r="H75" s="259">
        <v>23.01</v>
      </c>
      <c r="I75" s="265">
        <f t="shared" ref="I75:L75" si="33">SUM(I72:I74)</f>
        <v>1192704.76</v>
      </c>
      <c r="J75" s="261">
        <f t="shared" si="33"/>
        <v>-9556982.2400000002</v>
      </c>
      <c r="K75" s="261">
        <f t="shared" si="33"/>
        <v>-10130401.1744</v>
      </c>
      <c r="L75" s="270">
        <f t="shared" si="33"/>
        <v>-10738225.244864</v>
      </c>
    </row>
    <row r="76" spans="1:12" s="1" customFormat="1" ht="14.25" x14ac:dyDescent="0.2">
      <c r="A76" s="5"/>
      <c r="B76" s="7"/>
      <c r="C76" s="29"/>
      <c r="D76" s="11"/>
      <c r="E76" s="282"/>
      <c r="F76" s="262"/>
      <c r="G76" s="262"/>
      <c r="H76" s="262"/>
      <c r="I76" s="264"/>
      <c r="J76" s="262"/>
      <c r="K76" s="262"/>
      <c r="L76" s="269"/>
    </row>
    <row r="77" spans="1:12" s="3" customFormat="1" x14ac:dyDescent="0.25">
      <c r="A77" s="18"/>
      <c r="B77" s="19" t="s">
        <v>381</v>
      </c>
      <c r="C77" s="28"/>
      <c r="D77" s="21"/>
      <c r="E77" s="281"/>
      <c r="F77" s="259"/>
      <c r="G77" s="259"/>
      <c r="H77" s="259"/>
      <c r="I77" s="260"/>
      <c r="J77" s="259"/>
      <c r="K77" s="259"/>
      <c r="L77" s="268"/>
    </row>
    <row r="78" spans="1:12" s="3" customFormat="1" x14ac:dyDescent="0.25">
      <c r="A78" s="18"/>
      <c r="B78" s="19"/>
      <c r="C78" s="28"/>
      <c r="D78" s="21"/>
      <c r="E78" s="281"/>
      <c r="F78" s="259"/>
      <c r="G78" s="259"/>
      <c r="H78" s="259"/>
      <c r="I78" s="260"/>
      <c r="J78" s="259"/>
      <c r="K78" s="259"/>
      <c r="L78" s="268"/>
    </row>
    <row r="79" spans="1:12" s="1" customFormat="1" ht="14.25" x14ac:dyDescent="0.2">
      <c r="A79" s="5" t="s">
        <v>954</v>
      </c>
      <c r="B79" s="7" t="s">
        <v>391</v>
      </c>
      <c r="C79" s="29">
        <v>-50134</v>
      </c>
      <c r="D79" s="11">
        <v>0</v>
      </c>
      <c r="E79" s="282">
        <v>0</v>
      </c>
      <c r="F79" s="262">
        <v>-12139.36</v>
      </c>
      <c r="G79" s="262">
        <v>-37994.639999999999</v>
      </c>
      <c r="H79" s="262">
        <v>24.21</v>
      </c>
      <c r="I79" s="264">
        <v>25855.279999999999</v>
      </c>
      <c r="J79" s="262">
        <f t="shared" ref="J79:J83" si="34">C79+I79</f>
        <v>-24278.720000000001</v>
      </c>
      <c r="K79" s="262">
        <f t="shared" ref="K79:L79" si="35">J79*6/100+J79</f>
        <v>-25735.443200000002</v>
      </c>
      <c r="L79" s="269">
        <f t="shared" si="35"/>
        <v>-27279.569792000002</v>
      </c>
    </row>
    <row r="80" spans="1:12" s="1" customFormat="1" ht="14.25" x14ac:dyDescent="0.2">
      <c r="A80" s="5" t="s">
        <v>955</v>
      </c>
      <c r="B80" s="7" t="s">
        <v>191</v>
      </c>
      <c r="C80" s="29">
        <v>-64940</v>
      </c>
      <c r="D80" s="11">
        <v>-2546.0500000000002</v>
      </c>
      <c r="E80" s="282">
        <v>0</v>
      </c>
      <c r="F80" s="262">
        <v>-205813.09</v>
      </c>
      <c r="G80" s="262">
        <v>140873.09</v>
      </c>
      <c r="H80" s="262">
        <v>316.92</v>
      </c>
      <c r="I80" s="264">
        <v>-243779.64</v>
      </c>
      <c r="J80" s="262">
        <f t="shared" si="34"/>
        <v>-308719.64</v>
      </c>
      <c r="K80" s="262">
        <f t="shared" ref="K80:L80" si="36">J80*6/100+J80</f>
        <v>-327242.81839999999</v>
      </c>
      <c r="L80" s="269">
        <f t="shared" si="36"/>
        <v>-346877.38750399998</v>
      </c>
    </row>
    <row r="81" spans="1:12" s="1" customFormat="1" ht="14.25" x14ac:dyDescent="0.2">
      <c r="A81" s="5" t="s">
        <v>956</v>
      </c>
      <c r="B81" s="7" t="s">
        <v>851</v>
      </c>
      <c r="C81" s="29">
        <v>-21432</v>
      </c>
      <c r="D81" s="11">
        <v>0</v>
      </c>
      <c r="E81" s="282">
        <v>0</v>
      </c>
      <c r="F81" s="262">
        <v>-12798.21</v>
      </c>
      <c r="G81" s="262">
        <v>-8633.7900000000009</v>
      </c>
      <c r="H81" s="262">
        <v>59.71</v>
      </c>
      <c r="I81" s="264">
        <v>0</v>
      </c>
      <c r="J81" s="262">
        <f t="shared" si="34"/>
        <v>-21432</v>
      </c>
      <c r="K81" s="262">
        <f t="shared" ref="K81:L81" si="37">J81*6/100+J81</f>
        <v>-22717.919999999998</v>
      </c>
      <c r="L81" s="269">
        <f t="shared" si="37"/>
        <v>-24080.995199999998</v>
      </c>
    </row>
    <row r="82" spans="1:12" s="1" customFormat="1" ht="14.25" x14ac:dyDescent="0.2">
      <c r="A82" s="5" t="s">
        <v>957</v>
      </c>
      <c r="B82" s="7" t="s">
        <v>958</v>
      </c>
      <c r="C82" s="29">
        <v>-24592</v>
      </c>
      <c r="D82" s="11">
        <v>-989.52</v>
      </c>
      <c r="E82" s="282">
        <v>0</v>
      </c>
      <c r="F82" s="262">
        <v>-14720.75</v>
      </c>
      <c r="G82" s="262">
        <v>-9871.25</v>
      </c>
      <c r="H82" s="262">
        <v>59.85</v>
      </c>
      <c r="I82" s="264">
        <v>0</v>
      </c>
      <c r="J82" s="262">
        <f t="shared" si="34"/>
        <v>-24592</v>
      </c>
      <c r="K82" s="262">
        <f t="shared" ref="K82:L82" si="38">J82*6/100+J82</f>
        <v>-26067.52</v>
      </c>
      <c r="L82" s="269">
        <f t="shared" si="38"/>
        <v>-27631.571199999998</v>
      </c>
    </row>
    <row r="83" spans="1:12" s="1" customFormat="1" ht="14.25" x14ac:dyDescent="0.2">
      <c r="A83" s="5" t="s">
        <v>959</v>
      </c>
      <c r="B83" s="7" t="s">
        <v>408</v>
      </c>
      <c r="C83" s="29">
        <v>0</v>
      </c>
      <c r="D83" s="11">
        <v>0</v>
      </c>
      <c r="E83" s="282">
        <v>0</v>
      </c>
      <c r="F83" s="262">
        <v>0</v>
      </c>
      <c r="G83" s="262">
        <v>0</v>
      </c>
      <c r="H83" s="262">
        <v>0</v>
      </c>
      <c r="I83" s="264">
        <v>0</v>
      </c>
      <c r="J83" s="262">
        <f t="shared" si="34"/>
        <v>0</v>
      </c>
      <c r="K83" s="262">
        <f t="shared" ref="K83:L83" si="39">J83*6/100+J83</f>
        <v>0</v>
      </c>
      <c r="L83" s="269">
        <f t="shared" si="39"/>
        <v>0</v>
      </c>
    </row>
    <row r="84" spans="1:12" s="1" customFormat="1" ht="14.25" x14ac:dyDescent="0.2">
      <c r="A84" s="5"/>
      <c r="B84" s="7"/>
      <c r="C84" s="29"/>
      <c r="D84" s="11"/>
      <c r="E84" s="282"/>
      <c r="F84" s="262"/>
      <c r="G84" s="262"/>
      <c r="H84" s="262"/>
      <c r="I84" s="264"/>
      <c r="J84" s="262"/>
      <c r="K84" s="262"/>
      <c r="L84" s="269"/>
    </row>
    <row r="85" spans="1:12" s="3" customFormat="1" x14ac:dyDescent="0.25">
      <c r="A85" s="18"/>
      <c r="B85" s="19" t="s">
        <v>426</v>
      </c>
      <c r="C85" s="28">
        <f>SUM(C79:C84)</f>
        <v>-161098</v>
      </c>
      <c r="D85" s="36">
        <f t="shared" ref="D85:G85" si="40">SUM(D79:D84)</f>
        <v>-3535.57</v>
      </c>
      <c r="E85" s="276">
        <f t="shared" si="40"/>
        <v>0</v>
      </c>
      <c r="F85" s="261">
        <f t="shared" si="40"/>
        <v>-245471.41</v>
      </c>
      <c r="G85" s="261">
        <f t="shared" si="40"/>
        <v>84373.41</v>
      </c>
      <c r="H85" s="259">
        <v>152.37</v>
      </c>
      <c r="I85" s="265">
        <f t="shared" ref="I85:L85" si="41">SUM(I79:I84)</f>
        <v>-217924.36000000002</v>
      </c>
      <c r="J85" s="261">
        <f t="shared" si="41"/>
        <v>-379022.36</v>
      </c>
      <c r="K85" s="261">
        <f t="shared" si="41"/>
        <v>-401763.70159999997</v>
      </c>
      <c r="L85" s="270">
        <f t="shared" si="41"/>
        <v>-425869.52369599999</v>
      </c>
    </row>
    <row r="86" spans="1:12" s="3" customFormat="1" x14ac:dyDescent="0.25">
      <c r="A86" s="18"/>
      <c r="B86" s="19"/>
      <c r="C86" s="28"/>
      <c r="D86" s="21"/>
      <c r="E86" s="281"/>
      <c r="F86" s="259"/>
      <c r="G86" s="259"/>
      <c r="H86" s="259"/>
      <c r="I86" s="260"/>
      <c r="J86" s="259"/>
      <c r="K86" s="259"/>
      <c r="L86" s="268"/>
    </row>
    <row r="87" spans="1:12" s="3" customFormat="1" x14ac:dyDescent="0.25">
      <c r="A87" s="18"/>
      <c r="B87" s="19" t="s">
        <v>427</v>
      </c>
      <c r="C87" s="28">
        <f>C75+C85</f>
        <v>-10910785</v>
      </c>
      <c r="D87" s="36">
        <f t="shared" ref="D87:L87" si="42">D75+D85</f>
        <v>-396779.43</v>
      </c>
      <c r="E87" s="276">
        <f t="shared" si="42"/>
        <v>0</v>
      </c>
      <c r="F87" s="261">
        <f t="shared" si="42"/>
        <v>-2719508.2800000003</v>
      </c>
      <c r="G87" s="261">
        <f t="shared" si="42"/>
        <v>-8191276.7199999997</v>
      </c>
      <c r="H87" s="259">
        <v>24.92</v>
      </c>
      <c r="I87" s="265">
        <f t="shared" si="42"/>
        <v>974780.4</v>
      </c>
      <c r="J87" s="261">
        <f t="shared" si="42"/>
        <v>-9936004.5999999996</v>
      </c>
      <c r="K87" s="261">
        <f t="shared" si="42"/>
        <v>-10532164.876</v>
      </c>
      <c r="L87" s="270">
        <f t="shared" si="42"/>
        <v>-11164094.76856</v>
      </c>
    </row>
    <row r="88" spans="1:12" s="1" customFormat="1" ht="14.25" x14ac:dyDescent="0.2">
      <c r="A88" s="5"/>
      <c r="B88" s="7"/>
      <c r="C88" s="29"/>
      <c r="D88" s="11"/>
      <c r="E88" s="282"/>
      <c r="F88" s="262"/>
      <c r="G88" s="262"/>
      <c r="H88" s="262"/>
      <c r="I88" s="264"/>
      <c r="J88" s="262"/>
      <c r="K88" s="262"/>
      <c r="L88" s="269"/>
    </row>
    <row r="89" spans="1:12" s="3" customFormat="1" x14ac:dyDescent="0.25">
      <c r="A89" s="18"/>
      <c r="B89" s="19" t="s">
        <v>428</v>
      </c>
      <c r="C89" s="28">
        <f>C87</f>
        <v>-10910785</v>
      </c>
      <c r="D89" s="36">
        <f t="shared" ref="D89:G89" si="43">D87</f>
        <v>-396779.43</v>
      </c>
      <c r="E89" s="276">
        <f t="shared" si="43"/>
        <v>0</v>
      </c>
      <c r="F89" s="261">
        <f t="shared" si="43"/>
        <v>-2719508.2800000003</v>
      </c>
      <c r="G89" s="261">
        <f t="shared" si="43"/>
        <v>-8191276.7199999997</v>
      </c>
      <c r="H89" s="259">
        <v>24.92</v>
      </c>
      <c r="I89" s="265">
        <f t="shared" ref="I89:L89" si="44">I87</f>
        <v>974780.4</v>
      </c>
      <c r="J89" s="261">
        <f t="shared" si="44"/>
        <v>-9936004.5999999996</v>
      </c>
      <c r="K89" s="261">
        <f t="shared" si="44"/>
        <v>-10532164.876</v>
      </c>
      <c r="L89" s="270">
        <f t="shared" si="44"/>
        <v>-11164094.76856</v>
      </c>
    </row>
    <row r="90" spans="1:12" s="3" customFormat="1" x14ac:dyDescent="0.25">
      <c r="A90" s="18"/>
      <c r="B90" s="19"/>
      <c r="C90" s="28"/>
      <c r="D90" s="21"/>
      <c r="E90" s="281"/>
      <c r="F90" s="259"/>
      <c r="G90" s="259"/>
      <c r="H90" s="259"/>
      <c r="I90" s="260"/>
      <c r="J90" s="259"/>
      <c r="K90" s="259"/>
      <c r="L90" s="268"/>
    </row>
    <row r="91" spans="1:12" s="3" customFormat="1" x14ac:dyDescent="0.25">
      <c r="A91" s="18"/>
      <c r="B91" s="19" t="s">
        <v>429</v>
      </c>
      <c r="C91" s="28">
        <f>C89</f>
        <v>-10910785</v>
      </c>
      <c r="D91" s="36">
        <f t="shared" ref="D91:G91" si="45">D89</f>
        <v>-396779.43</v>
      </c>
      <c r="E91" s="276">
        <f t="shared" si="45"/>
        <v>0</v>
      </c>
      <c r="F91" s="261">
        <f t="shared" si="45"/>
        <v>-2719508.2800000003</v>
      </c>
      <c r="G91" s="261">
        <f t="shared" si="45"/>
        <v>-8191276.7199999997</v>
      </c>
      <c r="H91" s="259">
        <v>24.92</v>
      </c>
      <c r="I91" s="265">
        <f t="shared" ref="I91:L91" si="46">I89</f>
        <v>974780.4</v>
      </c>
      <c r="J91" s="261">
        <f t="shared" si="46"/>
        <v>-9936004.5999999996</v>
      </c>
      <c r="K91" s="261">
        <f t="shared" si="46"/>
        <v>-10532164.876</v>
      </c>
      <c r="L91" s="270">
        <f t="shared" si="46"/>
        <v>-11164094.76856</v>
      </c>
    </row>
    <row r="92" spans="1:12" s="3" customFormat="1" x14ac:dyDescent="0.25">
      <c r="A92" s="18"/>
      <c r="B92" s="19"/>
      <c r="C92" s="28"/>
      <c r="D92" s="21"/>
      <c r="E92" s="281"/>
      <c r="F92" s="259"/>
      <c r="G92" s="259"/>
      <c r="H92" s="259"/>
      <c r="I92" s="260"/>
      <c r="J92" s="259"/>
      <c r="K92" s="259"/>
      <c r="L92" s="268"/>
    </row>
    <row r="93" spans="1:12" s="3" customFormat="1" x14ac:dyDescent="0.25">
      <c r="A93" s="18"/>
      <c r="B93" s="19" t="s">
        <v>430</v>
      </c>
      <c r="C93" s="28"/>
      <c r="D93" s="21"/>
      <c r="E93" s="281"/>
      <c r="F93" s="259"/>
      <c r="G93" s="259"/>
      <c r="H93" s="259"/>
      <c r="I93" s="260"/>
      <c r="J93" s="259"/>
      <c r="K93" s="259"/>
      <c r="L93" s="268"/>
    </row>
    <row r="94" spans="1:12" s="3" customFormat="1" x14ac:dyDescent="0.25">
      <c r="A94" s="18"/>
      <c r="B94" s="19"/>
      <c r="C94" s="28"/>
      <c r="D94" s="21"/>
      <c r="E94" s="281"/>
      <c r="F94" s="259"/>
      <c r="G94" s="259"/>
      <c r="H94" s="259"/>
      <c r="I94" s="260"/>
      <c r="J94" s="259"/>
      <c r="K94" s="259"/>
      <c r="L94" s="268"/>
    </row>
    <row r="95" spans="1:12" s="3" customFormat="1" x14ac:dyDescent="0.25">
      <c r="A95" s="18"/>
      <c r="B95" s="19" t="s">
        <v>431</v>
      </c>
      <c r="C95" s="28"/>
      <c r="D95" s="21"/>
      <c r="E95" s="281"/>
      <c r="F95" s="259"/>
      <c r="G95" s="259"/>
      <c r="H95" s="259"/>
      <c r="I95" s="260"/>
      <c r="J95" s="259"/>
      <c r="K95" s="259"/>
      <c r="L95" s="268"/>
    </row>
    <row r="96" spans="1:12" s="3" customFormat="1" x14ac:dyDescent="0.25">
      <c r="A96" s="18"/>
      <c r="B96" s="19"/>
      <c r="C96" s="28"/>
      <c r="D96" s="21"/>
      <c r="E96" s="281"/>
      <c r="F96" s="259"/>
      <c r="G96" s="259"/>
      <c r="H96" s="259"/>
      <c r="I96" s="260"/>
      <c r="J96" s="259"/>
      <c r="K96" s="259"/>
      <c r="L96" s="268"/>
    </row>
    <row r="97" spans="1:12" s="1" customFormat="1" ht="14.25" x14ac:dyDescent="0.2">
      <c r="A97" s="5" t="s">
        <v>960</v>
      </c>
      <c r="B97" s="7" t="s">
        <v>433</v>
      </c>
      <c r="C97" s="29">
        <f>C66</f>
        <v>2780646</v>
      </c>
      <c r="D97" s="37">
        <f t="shared" ref="D97:G97" si="47">D66</f>
        <v>358613.82</v>
      </c>
      <c r="E97" s="277">
        <f t="shared" si="47"/>
        <v>28851.78</v>
      </c>
      <c r="F97" s="263">
        <f t="shared" si="47"/>
        <v>1200563.54</v>
      </c>
      <c r="G97" s="263">
        <f t="shared" si="47"/>
        <v>1551230.6800000002</v>
      </c>
      <c r="H97" s="262">
        <v>43.17</v>
      </c>
      <c r="I97" s="264">
        <f>I66</f>
        <v>1327555</v>
      </c>
      <c r="J97" s="262">
        <f t="shared" ref="J97:J98" si="48">C97+I97</f>
        <v>4108201</v>
      </c>
      <c r="K97" s="264">
        <f t="shared" ref="K97:L97" si="49">K66</f>
        <v>3294693.0599999996</v>
      </c>
      <c r="L97" s="296">
        <f t="shared" si="49"/>
        <v>3492374.6436000001</v>
      </c>
    </row>
    <row r="98" spans="1:12" s="1" customFormat="1" ht="14.25" x14ac:dyDescent="0.2">
      <c r="A98" s="5" t="s">
        <v>961</v>
      </c>
      <c r="B98" s="7" t="s">
        <v>429</v>
      </c>
      <c r="C98" s="29">
        <f>C91</f>
        <v>-10910785</v>
      </c>
      <c r="D98" s="37">
        <f t="shared" ref="D98:G98" si="50">D91</f>
        <v>-396779.43</v>
      </c>
      <c r="E98" s="277">
        <f t="shared" si="50"/>
        <v>0</v>
      </c>
      <c r="F98" s="263">
        <f t="shared" si="50"/>
        <v>-2719508.2800000003</v>
      </c>
      <c r="G98" s="263">
        <f t="shared" si="50"/>
        <v>-8191276.7199999997</v>
      </c>
      <c r="H98" s="262">
        <v>24.92</v>
      </c>
      <c r="I98" s="264">
        <f>I91</f>
        <v>974780.4</v>
      </c>
      <c r="J98" s="262">
        <f t="shared" si="48"/>
        <v>-9936004.5999999996</v>
      </c>
      <c r="K98" s="264">
        <f t="shared" ref="K98:L98" si="51">K91</f>
        <v>-10532164.876</v>
      </c>
      <c r="L98" s="296">
        <f t="shared" si="51"/>
        <v>-11164094.76856</v>
      </c>
    </row>
    <row r="99" spans="1:12" s="1" customFormat="1" ht="14.25" x14ac:dyDescent="0.2">
      <c r="A99" s="5"/>
      <c r="B99" s="7"/>
      <c r="C99" s="29"/>
      <c r="D99" s="11"/>
      <c r="E99" s="282"/>
      <c r="F99" s="262"/>
      <c r="G99" s="262"/>
      <c r="H99" s="262"/>
      <c r="I99" s="264"/>
      <c r="J99" s="262"/>
      <c r="K99" s="262"/>
      <c r="L99" s="269"/>
    </row>
    <row r="100" spans="1:12" s="3" customFormat="1" x14ac:dyDescent="0.25">
      <c r="A100" s="18"/>
      <c r="B100" s="19" t="s">
        <v>435</v>
      </c>
      <c r="C100" s="28">
        <f>C97+C98</f>
        <v>-8130139</v>
      </c>
      <c r="D100" s="36">
        <f t="shared" ref="D100:L100" si="52">D97+D98</f>
        <v>-38165.609999999986</v>
      </c>
      <c r="E100" s="276">
        <f t="shared" si="52"/>
        <v>28851.78</v>
      </c>
      <c r="F100" s="261">
        <f t="shared" si="52"/>
        <v>-1518944.7400000002</v>
      </c>
      <c r="G100" s="261">
        <f t="shared" si="52"/>
        <v>-6640046.0399999991</v>
      </c>
      <c r="H100" s="259">
        <v>18.68</v>
      </c>
      <c r="I100" s="265">
        <f>I97+I98</f>
        <v>2302335.4</v>
      </c>
      <c r="J100" s="261">
        <f t="shared" si="52"/>
        <v>-5827803.5999999996</v>
      </c>
      <c r="K100" s="261">
        <f t="shared" si="52"/>
        <v>-7237471.8160000006</v>
      </c>
      <c r="L100" s="270">
        <f t="shared" si="52"/>
        <v>-7671720.1249599997</v>
      </c>
    </row>
    <row r="101" spans="1:12" s="3" customFormat="1" x14ac:dyDescent="0.25">
      <c r="A101" s="18"/>
      <c r="B101" s="19"/>
      <c r="C101" s="28"/>
      <c r="D101" s="21"/>
      <c r="E101" s="281"/>
      <c r="F101" s="259"/>
      <c r="G101" s="259"/>
      <c r="H101" s="259"/>
      <c r="I101" s="260"/>
      <c r="J101" s="259"/>
      <c r="K101" s="259"/>
      <c r="L101" s="268"/>
    </row>
    <row r="102" spans="1:12" s="3" customFormat="1" x14ac:dyDescent="0.25">
      <c r="A102" s="18"/>
      <c r="B102" s="19" t="s">
        <v>436</v>
      </c>
      <c r="C102" s="28">
        <f>C100</f>
        <v>-8130139</v>
      </c>
      <c r="D102" s="36">
        <f t="shared" ref="D102:G102" si="53">D100</f>
        <v>-38165.609999999986</v>
      </c>
      <c r="E102" s="276">
        <f t="shared" si="53"/>
        <v>28851.78</v>
      </c>
      <c r="F102" s="261">
        <f t="shared" si="53"/>
        <v>-1518944.7400000002</v>
      </c>
      <c r="G102" s="261">
        <f t="shared" si="53"/>
        <v>-6640046.0399999991</v>
      </c>
      <c r="H102" s="259">
        <v>18.68</v>
      </c>
      <c r="I102" s="265">
        <f t="shared" ref="I102:L102" si="54">I100</f>
        <v>2302335.4</v>
      </c>
      <c r="J102" s="261">
        <f t="shared" si="54"/>
        <v>-5827803.5999999996</v>
      </c>
      <c r="K102" s="261">
        <f t="shared" si="54"/>
        <v>-7237471.8160000006</v>
      </c>
      <c r="L102" s="270">
        <f t="shared" si="54"/>
        <v>-7671720.1249599997</v>
      </c>
    </row>
    <row r="103" spans="1:12" s="3" customFormat="1" x14ac:dyDescent="0.25">
      <c r="A103" s="18"/>
      <c r="B103" s="19"/>
      <c r="C103" s="28"/>
      <c r="D103" s="21"/>
      <c r="E103" s="281"/>
      <c r="F103" s="259"/>
      <c r="G103" s="259"/>
      <c r="H103" s="259"/>
      <c r="I103" s="260"/>
      <c r="J103" s="259"/>
      <c r="K103" s="259"/>
      <c r="L103" s="268"/>
    </row>
    <row r="104" spans="1:12" s="3" customFormat="1" x14ac:dyDescent="0.25">
      <c r="A104" s="18"/>
      <c r="B104" s="19" t="s">
        <v>437</v>
      </c>
      <c r="C104" s="28"/>
      <c r="D104" s="21"/>
      <c r="E104" s="281"/>
      <c r="F104" s="259"/>
      <c r="G104" s="259"/>
      <c r="H104" s="259"/>
      <c r="I104" s="260"/>
      <c r="J104" s="259"/>
      <c r="K104" s="259"/>
      <c r="L104" s="268"/>
    </row>
    <row r="105" spans="1:12" s="3" customFormat="1" x14ac:dyDescent="0.25">
      <c r="A105" s="18"/>
      <c r="B105" s="19"/>
      <c r="C105" s="28"/>
      <c r="D105" s="21"/>
      <c r="E105" s="281"/>
      <c r="F105" s="259"/>
      <c r="G105" s="259"/>
      <c r="H105" s="259"/>
      <c r="I105" s="260"/>
      <c r="J105" s="259"/>
      <c r="K105" s="259"/>
      <c r="L105" s="268"/>
    </row>
    <row r="106" spans="1:12" s="258" customFormat="1" ht="14.25" x14ac:dyDescent="0.2">
      <c r="A106" s="253" t="s">
        <v>962</v>
      </c>
      <c r="B106" s="254" t="s">
        <v>451</v>
      </c>
      <c r="C106" s="255">
        <v>1200000</v>
      </c>
      <c r="D106" s="256">
        <v>0</v>
      </c>
      <c r="E106" s="283">
        <v>0</v>
      </c>
      <c r="F106" s="266">
        <v>0</v>
      </c>
      <c r="G106" s="266">
        <f t="shared" ref="G106:G112" si="55">C106-E106-F106</f>
        <v>1200000</v>
      </c>
      <c r="H106" s="266">
        <v>0</v>
      </c>
      <c r="I106" s="267">
        <v>442332</v>
      </c>
      <c r="J106" s="266">
        <f t="shared" ref="J106:J112" si="56">C106+I106</f>
        <v>1642332</v>
      </c>
      <c r="K106" s="266">
        <f>'[2]ALL DEPARTMENTS'!$I$1396</f>
        <v>1500000</v>
      </c>
      <c r="L106" s="271">
        <f>'[2]ALL DEPARTMENTS'!$J$1396</f>
        <v>1800000</v>
      </c>
    </row>
    <row r="107" spans="1:12" s="258" customFormat="1" ht="14.25" x14ac:dyDescent="0.2">
      <c r="A107" s="253"/>
      <c r="B107" s="111" t="s">
        <v>1049</v>
      </c>
      <c r="C107" s="255"/>
      <c r="D107" s="256"/>
      <c r="E107" s="283"/>
      <c r="F107" s="266"/>
      <c r="G107" s="266"/>
      <c r="H107" s="266"/>
      <c r="I107" s="267">
        <v>0</v>
      </c>
      <c r="J107" s="266">
        <v>0</v>
      </c>
      <c r="K107" s="266">
        <f>'[2]ALL DEPARTMENTS'!$I$1397</f>
        <v>0</v>
      </c>
      <c r="L107" s="271">
        <f>'[2]ALL DEPARTMENTS'!$J$1397</f>
        <v>2500000</v>
      </c>
    </row>
    <row r="108" spans="1:12" s="258" customFormat="1" ht="14.25" x14ac:dyDescent="0.2">
      <c r="A108" s="253"/>
      <c r="B108" s="111" t="s">
        <v>1088</v>
      </c>
      <c r="C108" s="255"/>
      <c r="D108" s="256"/>
      <c r="E108" s="283"/>
      <c r="F108" s="266"/>
      <c r="G108" s="266"/>
      <c r="H108" s="266"/>
      <c r="I108" s="267"/>
      <c r="J108" s="266"/>
      <c r="K108" s="266">
        <f>'[3]ALL DEPARTMENTS'!$I$1410</f>
        <v>550000</v>
      </c>
      <c r="L108" s="271"/>
    </row>
    <row r="109" spans="1:12" s="258" customFormat="1" ht="14.25" x14ac:dyDescent="0.2">
      <c r="A109" s="253" t="s">
        <v>963</v>
      </c>
      <c r="B109" s="254" t="s">
        <v>453</v>
      </c>
      <c r="C109" s="255">
        <v>700000</v>
      </c>
      <c r="D109" s="256">
        <v>795760</v>
      </c>
      <c r="E109" s="283">
        <v>0</v>
      </c>
      <c r="F109" s="266">
        <v>795760</v>
      </c>
      <c r="G109" s="266">
        <f t="shared" si="55"/>
        <v>-95760</v>
      </c>
      <c r="H109" s="266">
        <v>113.68</v>
      </c>
      <c r="I109" s="267">
        <v>498854.41</v>
      </c>
      <c r="J109" s="266">
        <f t="shared" si="56"/>
        <v>1198854.4099999999</v>
      </c>
      <c r="K109" s="266"/>
      <c r="L109" s="271"/>
    </row>
    <row r="110" spans="1:12" s="1" customFormat="1" ht="14.25" x14ac:dyDescent="0.2">
      <c r="A110" s="5" t="s">
        <v>964</v>
      </c>
      <c r="B110" s="7" t="s">
        <v>466</v>
      </c>
      <c r="C110" s="29">
        <v>1000000</v>
      </c>
      <c r="D110" s="11">
        <v>0</v>
      </c>
      <c r="E110" s="9">
        <v>0</v>
      </c>
      <c r="F110" s="11">
        <v>0</v>
      </c>
      <c r="G110" s="9">
        <f t="shared" si="55"/>
        <v>1000000</v>
      </c>
      <c r="H110" s="11">
        <v>0</v>
      </c>
      <c r="I110" s="240">
        <v>-1000000</v>
      </c>
      <c r="J110" s="109">
        <f t="shared" si="56"/>
        <v>0</v>
      </c>
      <c r="K110" s="229">
        <v>0</v>
      </c>
      <c r="L110" s="109">
        <v>0</v>
      </c>
    </row>
    <row r="111" spans="1:12" s="1" customFormat="1" ht="14.25" x14ac:dyDescent="0.2">
      <c r="A111" s="5"/>
      <c r="B111" s="111" t="s">
        <v>1089</v>
      </c>
      <c r="C111" s="29"/>
      <c r="D111" s="11"/>
      <c r="E111" s="282"/>
      <c r="F111" s="262"/>
      <c r="G111" s="262"/>
      <c r="H111" s="262"/>
      <c r="I111" s="264">
        <v>0</v>
      </c>
      <c r="J111" s="262">
        <v>0</v>
      </c>
      <c r="K111" s="262">
        <f>'[3]ALL DEPARTMENTS'!$I$1415</f>
        <v>1800000</v>
      </c>
      <c r="L111" s="269">
        <v>0</v>
      </c>
    </row>
    <row r="112" spans="1:12" s="1" customFormat="1" ht="14.25" x14ac:dyDescent="0.2">
      <c r="A112" s="5" t="s">
        <v>965</v>
      </c>
      <c r="B112" s="7" t="s">
        <v>468</v>
      </c>
      <c r="C112" s="29">
        <v>500000</v>
      </c>
      <c r="D112" s="11">
        <v>0</v>
      </c>
      <c r="E112" s="282">
        <v>0</v>
      </c>
      <c r="F112" s="262">
        <v>0</v>
      </c>
      <c r="G112" s="262">
        <f t="shared" si="55"/>
        <v>500000</v>
      </c>
      <c r="H112" s="262">
        <v>0</v>
      </c>
      <c r="I112" s="264">
        <v>0</v>
      </c>
      <c r="J112" s="262">
        <f t="shared" si="56"/>
        <v>500000</v>
      </c>
      <c r="K112" s="262">
        <f>'[3]ALL DEPARTMENTS'!$I$1413</f>
        <v>200000</v>
      </c>
      <c r="L112" s="269">
        <v>0</v>
      </c>
    </row>
    <row r="113" spans="1:12" s="1" customFormat="1" ht="14.25" x14ac:dyDescent="0.2">
      <c r="A113" s="5"/>
      <c r="B113" s="7"/>
      <c r="C113" s="29"/>
      <c r="D113" s="11"/>
      <c r="E113" s="282"/>
      <c r="F113" s="262"/>
      <c r="G113" s="262"/>
      <c r="H113" s="262"/>
      <c r="I113" s="264"/>
      <c r="J113" s="262"/>
      <c r="K113" s="262"/>
      <c r="L113" s="269"/>
    </row>
    <row r="114" spans="1:12" s="3" customFormat="1" x14ac:dyDescent="0.25">
      <c r="A114" s="18"/>
      <c r="B114" s="19" t="s">
        <v>471</v>
      </c>
      <c r="C114" s="28">
        <f>SUM(C106:C113)</f>
        <v>3400000</v>
      </c>
      <c r="D114" s="36">
        <f>SUM(D106:D113)</f>
        <v>795760</v>
      </c>
      <c r="E114" s="276">
        <f>SUM(E106:E113)</f>
        <v>0</v>
      </c>
      <c r="F114" s="261">
        <f>SUM(F106:F113)</f>
        <v>795760</v>
      </c>
      <c r="G114" s="261">
        <f>SUM(G106:G113)</f>
        <v>2604240</v>
      </c>
      <c r="H114" s="259">
        <v>23.4</v>
      </c>
      <c r="I114" s="265">
        <f>SUM(I106:I113)</f>
        <v>-58813.590000000084</v>
      </c>
      <c r="J114" s="261">
        <f>SUM(J106:J113)</f>
        <v>3341186.41</v>
      </c>
      <c r="K114" s="261">
        <f>SUM(K106:K113)</f>
        <v>4050000</v>
      </c>
      <c r="L114" s="270">
        <f>SUM(L106:L113)</f>
        <v>4300000</v>
      </c>
    </row>
    <row r="115" spans="1:12" s="1" customFormat="1" ht="14.25" x14ac:dyDescent="0.2">
      <c r="A115" s="5"/>
      <c r="B115" s="7"/>
      <c r="C115" s="29"/>
      <c r="D115" s="11"/>
      <c r="E115" s="282"/>
      <c r="F115" s="262"/>
      <c r="G115" s="262"/>
      <c r="H115" s="262"/>
      <c r="I115" s="264"/>
      <c r="J115" s="262"/>
      <c r="K115" s="262"/>
      <c r="L115" s="269"/>
    </row>
    <row r="116" spans="1:12" s="3" customFormat="1" ht="15.75" thickBot="1" x14ac:dyDescent="0.3">
      <c r="A116" s="158"/>
      <c r="B116" s="279" t="s">
        <v>472</v>
      </c>
      <c r="C116" s="280">
        <f>C114</f>
        <v>3400000</v>
      </c>
      <c r="D116" s="284">
        <f t="shared" ref="D116:G116" si="57">D114</f>
        <v>795760</v>
      </c>
      <c r="E116" s="278">
        <f t="shared" si="57"/>
        <v>0</v>
      </c>
      <c r="F116" s="272">
        <f t="shared" si="57"/>
        <v>795760</v>
      </c>
      <c r="G116" s="272">
        <f t="shared" si="57"/>
        <v>2604240</v>
      </c>
      <c r="H116" s="273">
        <v>23.4</v>
      </c>
      <c r="I116" s="274">
        <f t="shared" ref="I116:L116" si="58">I114</f>
        <v>-58813.590000000084</v>
      </c>
      <c r="J116" s="272">
        <f t="shared" si="58"/>
        <v>3341186.41</v>
      </c>
      <c r="K116" s="272">
        <f t="shared" si="58"/>
        <v>4050000</v>
      </c>
      <c r="L116" s="275">
        <f t="shared" si="58"/>
        <v>4300000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>
      <pane xSplit="2" ySplit="1" topLeftCell="E10" activePane="bottomRight" state="frozen"/>
      <selection pane="topRight" activeCell="C1" sqref="C1"/>
      <selection pane="bottomLeft" activeCell="A2" sqref="A2"/>
      <selection pane="bottomRight" activeCell="K20" sqref="K20"/>
    </sheetView>
  </sheetViews>
  <sheetFormatPr defaultRowHeight="15" x14ac:dyDescent="0.25"/>
  <cols>
    <col min="1" max="1" width="18.42578125" bestFit="1" customWidth="1"/>
    <col min="2" max="2" width="56" bestFit="1" customWidth="1"/>
    <col min="3" max="3" width="15" customWidth="1"/>
    <col min="4" max="4" width="16.28515625" customWidth="1"/>
    <col min="5" max="5" width="14.28515625" customWidth="1"/>
    <col min="6" max="6" width="14" customWidth="1"/>
    <col min="7" max="7" width="13.85546875" customWidth="1"/>
    <col min="8" max="8" width="6.85546875" customWidth="1"/>
    <col min="9" max="9" width="14.28515625" style="73" customWidth="1"/>
    <col min="10" max="10" width="14.140625" customWidth="1"/>
    <col min="11" max="11" width="13.140625" customWidth="1"/>
    <col min="12" max="12" width="15.7109375" customWidth="1"/>
  </cols>
  <sheetData>
    <row r="1" spans="1:12" s="3" customFormat="1" ht="45.75" thickBot="1" x14ac:dyDescent="0.3">
      <c r="A1" s="13" t="s">
        <v>0</v>
      </c>
      <c r="B1" s="14" t="s">
        <v>1</v>
      </c>
      <c r="C1" s="27" t="s">
        <v>2</v>
      </c>
      <c r="D1" s="15" t="s">
        <v>3</v>
      </c>
      <c r="E1" s="16" t="s">
        <v>4</v>
      </c>
      <c r="F1" s="17" t="s">
        <v>5</v>
      </c>
      <c r="G1" s="16" t="s">
        <v>6</v>
      </c>
      <c r="H1" s="15" t="s">
        <v>7</v>
      </c>
      <c r="I1" s="68" t="s">
        <v>999</v>
      </c>
      <c r="J1" s="17" t="s">
        <v>1000</v>
      </c>
      <c r="K1" s="39" t="s">
        <v>1001</v>
      </c>
      <c r="L1" s="17" t="s">
        <v>1002</v>
      </c>
    </row>
    <row r="2" spans="1:12" s="3" customFormat="1" x14ac:dyDescent="0.25">
      <c r="A2" s="18"/>
      <c r="B2" s="19" t="s">
        <v>966</v>
      </c>
      <c r="C2" s="28"/>
      <c r="D2" s="21"/>
      <c r="E2" s="20"/>
      <c r="F2" s="21"/>
      <c r="G2" s="20"/>
      <c r="H2" s="21"/>
      <c r="I2" s="69"/>
      <c r="J2" s="21"/>
      <c r="K2" s="20"/>
      <c r="L2" s="21"/>
    </row>
    <row r="3" spans="1:12" s="3" customFormat="1" x14ac:dyDescent="0.25">
      <c r="A3" s="18"/>
      <c r="B3" s="19"/>
      <c r="C3" s="28"/>
      <c r="D3" s="21"/>
      <c r="E3" s="20"/>
      <c r="F3" s="21"/>
      <c r="G3" s="20"/>
      <c r="H3" s="21"/>
      <c r="I3" s="69"/>
      <c r="J3" s="21"/>
      <c r="K3" s="20"/>
      <c r="L3" s="21"/>
    </row>
    <row r="4" spans="1:12" s="3" customFormat="1" x14ac:dyDescent="0.25">
      <c r="A4" s="18"/>
      <c r="B4" s="19" t="s">
        <v>9</v>
      </c>
      <c r="C4" s="28"/>
      <c r="D4" s="21"/>
      <c r="E4" s="20"/>
      <c r="F4" s="21"/>
      <c r="G4" s="20"/>
      <c r="H4" s="21"/>
      <c r="I4" s="69"/>
      <c r="J4" s="21"/>
      <c r="K4" s="20"/>
      <c r="L4" s="21"/>
    </row>
    <row r="5" spans="1:12" s="3" customFormat="1" x14ac:dyDescent="0.25">
      <c r="A5" s="18"/>
      <c r="B5" s="19"/>
      <c r="C5" s="28"/>
      <c r="D5" s="21"/>
      <c r="E5" s="20"/>
      <c r="F5" s="21"/>
      <c r="G5" s="20"/>
      <c r="H5" s="21"/>
      <c r="I5" s="69"/>
      <c r="J5" s="21"/>
      <c r="K5" s="20"/>
      <c r="L5" s="21"/>
    </row>
    <row r="6" spans="1:12" s="3" customFormat="1" x14ac:dyDescent="0.25">
      <c r="A6" s="18"/>
      <c r="B6" s="19" t="s">
        <v>10</v>
      </c>
      <c r="C6" s="28"/>
      <c r="D6" s="21"/>
      <c r="E6" s="20"/>
      <c r="F6" s="21"/>
      <c r="G6" s="20"/>
      <c r="H6" s="21"/>
      <c r="I6" s="69"/>
      <c r="J6" s="21"/>
      <c r="K6" s="20"/>
      <c r="L6" s="21"/>
    </row>
    <row r="7" spans="1:12" s="3" customFormat="1" x14ac:dyDescent="0.25">
      <c r="A7" s="18"/>
      <c r="B7" s="19"/>
      <c r="C7" s="28"/>
      <c r="D7" s="21"/>
      <c r="E7" s="20"/>
      <c r="F7" s="21"/>
      <c r="G7" s="20"/>
      <c r="H7" s="21"/>
      <c r="I7" s="69"/>
      <c r="J7" s="21"/>
      <c r="K7" s="20"/>
      <c r="L7" s="21"/>
    </row>
    <row r="8" spans="1:12" s="3" customFormat="1" x14ac:dyDescent="0.25">
      <c r="A8" s="18"/>
      <c r="B8" s="19" t="s">
        <v>11</v>
      </c>
      <c r="C8" s="28"/>
      <c r="D8" s="21"/>
      <c r="E8" s="20"/>
      <c r="F8" s="21"/>
      <c r="G8" s="20"/>
      <c r="H8" s="21"/>
      <c r="I8" s="69"/>
      <c r="J8" s="21"/>
      <c r="K8" s="20"/>
      <c r="L8" s="21"/>
    </row>
    <row r="9" spans="1:12" s="3" customFormat="1" x14ac:dyDescent="0.25">
      <c r="A9" s="18"/>
      <c r="B9" s="19"/>
      <c r="C9" s="28"/>
      <c r="D9" s="21"/>
      <c r="E9" s="20"/>
      <c r="F9" s="21"/>
      <c r="G9" s="20"/>
      <c r="H9" s="21"/>
      <c r="I9" s="69"/>
      <c r="J9" s="21"/>
      <c r="K9" s="20"/>
      <c r="L9" s="21"/>
    </row>
    <row r="10" spans="1:12" s="1" customFormat="1" ht="14.25" x14ac:dyDescent="0.2">
      <c r="A10" s="5" t="s">
        <v>967</v>
      </c>
      <c r="B10" s="7" t="s">
        <v>13</v>
      </c>
      <c r="C10" s="29">
        <v>349426</v>
      </c>
      <c r="D10" s="11">
        <v>11964.55</v>
      </c>
      <c r="E10" s="9">
        <v>0</v>
      </c>
      <c r="F10" s="11">
        <v>31527.05</v>
      </c>
      <c r="G10" s="9">
        <f t="shared" ref="G10:G25" si="0">C10-E10-F10</f>
        <v>317898.95</v>
      </c>
      <c r="H10" s="11">
        <v>9.02</v>
      </c>
      <c r="I10" s="70">
        <v>0</v>
      </c>
      <c r="J10" s="11">
        <f t="shared" ref="J10:J25" si="1">C10+I10</f>
        <v>349426</v>
      </c>
      <c r="K10" s="9">
        <f>J10*6/100+J10</f>
        <v>370391.56</v>
      </c>
      <c r="L10" s="11">
        <f>K10*10/100+K10</f>
        <v>407430.71600000001</v>
      </c>
    </row>
    <row r="11" spans="1:12" s="1" customFormat="1" ht="14.25" x14ac:dyDescent="0.2">
      <c r="A11" s="5" t="s">
        <v>968</v>
      </c>
      <c r="B11" s="7" t="s">
        <v>15</v>
      </c>
      <c r="C11" s="29">
        <v>0</v>
      </c>
      <c r="D11" s="11">
        <v>0</v>
      </c>
      <c r="E11" s="9">
        <v>0</v>
      </c>
      <c r="F11" s="11">
        <v>0</v>
      </c>
      <c r="G11" s="9">
        <f t="shared" si="0"/>
        <v>0</v>
      </c>
      <c r="H11" s="11">
        <v>0</v>
      </c>
      <c r="I11" s="70">
        <v>0</v>
      </c>
      <c r="J11" s="11">
        <f t="shared" si="1"/>
        <v>0</v>
      </c>
      <c r="K11" s="9">
        <f t="shared" ref="K11:K25" si="2">J11*6/100+J11</f>
        <v>0</v>
      </c>
      <c r="L11" s="11">
        <f t="shared" ref="L11:L25" si="3">K11*10/100+K11</f>
        <v>0</v>
      </c>
    </row>
    <row r="12" spans="1:12" s="1" customFormat="1" ht="14.25" x14ac:dyDescent="0.2">
      <c r="A12" s="5" t="s">
        <v>969</v>
      </c>
      <c r="B12" s="7" t="s">
        <v>17</v>
      </c>
      <c r="C12" s="29">
        <v>0</v>
      </c>
      <c r="D12" s="11">
        <v>0</v>
      </c>
      <c r="E12" s="9">
        <v>0</v>
      </c>
      <c r="F12" s="11">
        <v>0</v>
      </c>
      <c r="G12" s="9">
        <f t="shared" si="0"/>
        <v>0</v>
      </c>
      <c r="H12" s="11">
        <v>0</v>
      </c>
      <c r="I12" s="70">
        <v>0</v>
      </c>
      <c r="J12" s="11">
        <f t="shared" si="1"/>
        <v>0</v>
      </c>
      <c r="K12" s="9">
        <f t="shared" si="2"/>
        <v>0</v>
      </c>
      <c r="L12" s="11">
        <f t="shared" si="3"/>
        <v>0</v>
      </c>
    </row>
    <row r="13" spans="1:12" s="1" customFormat="1" ht="14.25" x14ac:dyDescent="0.2">
      <c r="A13" s="5" t="s">
        <v>970</v>
      </c>
      <c r="B13" s="7" t="s">
        <v>19</v>
      </c>
      <c r="C13" s="29">
        <v>10000</v>
      </c>
      <c r="D13" s="11">
        <v>4476.46</v>
      </c>
      <c r="E13" s="9">
        <v>0</v>
      </c>
      <c r="F13" s="11">
        <v>6503.75</v>
      </c>
      <c r="G13" s="9">
        <f t="shared" si="0"/>
        <v>3496.25</v>
      </c>
      <c r="H13" s="11">
        <v>65.03</v>
      </c>
      <c r="I13" s="70">
        <v>10000</v>
      </c>
      <c r="J13" s="11">
        <f t="shared" si="1"/>
        <v>20000</v>
      </c>
      <c r="K13" s="9">
        <f t="shared" si="2"/>
        <v>21200</v>
      </c>
      <c r="L13" s="11">
        <f t="shared" si="3"/>
        <v>23320</v>
      </c>
    </row>
    <row r="14" spans="1:12" s="1" customFormat="1" ht="14.25" x14ac:dyDescent="0.2">
      <c r="A14" s="5" t="s">
        <v>971</v>
      </c>
      <c r="B14" s="7" t="s">
        <v>21</v>
      </c>
      <c r="C14" s="29">
        <v>200000</v>
      </c>
      <c r="D14" s="11">
        <v>24001.919999999998</v>
      </c>
      <c r="E14" s="9">
        <v>0</v>
      </c>
      <c r="F14" s="11">
        <v>116892.34</v>
      </c>
      <c r="G14" s="9">
        <f t="shared" si="0"/>
        <v>83107.66</v>
      </c>
      <c r="H14" s="11">
        <v>58.44</v>
      </c>
      <c r="I14" s="70">
        <v>50000</v>
      </c>
      <c r="J14" s="11">
        <f t="shared" si="1"/>
        <v>250000</v>
      </c>
      <c r="K14" s="9">
        <f t="shared" si="2"/>
        <v>265000</v>
      </c>
      <c r="L14" s="11">
        <f t="shared" si="3"/>
        <v>291500</v>
      </c>
    </row>
    <row r="15" spans="1:12" s="1" customFormat="1" ht="14.25" x14ac:dyDescent="0.2">
      <c r="A15" s="5" t="s">
        <v>972</v>
      </c>
      <c r="B15" s="7" t="s">
        <v>22</v>
      </c>
      <c r="C15" s="29">
        <v>0</v>
      </c>
      <c r="D15" s="11">
        <v>0</v>
      </c>
      <c r="E15" s="9">
        <v>0</v>
      </c>
      <c r="F15" s="11">
        <v>0</v>
      </c>
      <c r="G15" s="9">
        <f t="shared" si="0"/>
        <v>0</v>
      </c>
      <c r="H15" s="11">
        <v>0</v>
      </c>
      <c r="I15" s="70">
        <v>0</v>
      </c>
      <c r="J15" s="11">
        <f t="shared" si="1"/>
        <v>0</v>
      </c>
      <c r="K15" s="9">
        <f t="shared" si="2"/>
        <v>0</v>
      </c>
      <c r="L15" s="11">
        <f t="shared" si="3"/>
        <v>0</v>
      </c>
    </row>
    <row r="16" spans="1:12" s="1" customFormat="1" ht="14.25" x14ac:dyDescent="0.2">
      <c r="A16" s="5" t="s">
        <v>973</v>
      </c>
      <c r="B16" s="7" t="s">
        <v>24</v>
      </c>
      <c r="C16" s="29">
        <v>27408</v>
      </c>
      <c r="D16" s="11">
        <v>1175</v>
      </c>
      <c r="E16" s="9">
        <v>0</v>
      </c>
      <c r="F16" s="11">
        <v>5875</v>
      </c>
      <c r="G16" s="9">
        <f t="shared" si="0"/>
        <v>21533</v>
      </c>
      <c r="H16" s="11">
        <v>21.43</v>
      </c>
      <c r="I16" s="70">
        <v>0</v>
      </c>
      <c r="J16" s="11">
        <f t="shared" si="1"/>
        <v>27408</v>
      </c>
      <c r="K16" s="9">
        <f t="shared" si="2"/>
        <v>29052.48</v>
      </c>
      <c r="L16" s="11">
        <f t="shared" si="3"/>
        <v>31957.727999999999</v>
      </c>
    </row>
    <row r="17" spans="1:12" s="1" customFormat="1" ht="14.25" x14ac:dyDescent="0.2">
      <c r="A17" s="5" t="s">
        <v>974</v>
      </c>
      <c r="B17" s="7" t="s">
        <v>26</v>
      </c>
      <c r="C17" s="29">
        <v>0</v>
      </c>
      <c r="D17" s="11">
        <v>0</v>
      </c>
      <c r="E17" s="9">
        <v>0</v>
      </c>
      <c r="F17" s="11">
        <v>0</v>
      </c>
      <c r="G17" s="9">
        <f t="shared" si="0"/>
        <v>0</v>
      </c>
      <c r="H17" s="11">
        <v>0</v>
      </c>
      <c r="I17" s="70">
        <v>0</v>
      </c>
      <c r="J17" s="11">
        <f t="shared" si="1"/>
        <v>0</v>
      </c>
      <c r="K17" s="9">
        <f t="shared" si="2"/>
        <v>0</v>
      </c>
      <c r="L17" s="11">
        <f t="shared" si="3"/>
        <v>0</v>
      </c>
    </row>
    <row r="18" spans="1:12" s="1" customFormat="1" ht="14.25" x14ac:dyDescent="0.2">
      <c r="A18" s="5" t="s">
        <v>975</v>
      </c>
      <c r="B18" s="7" t="s">
        <v>28</v>
      </c>
      <c r="C18" s="29">
        <v>0</v>
      </c>
      <c r="D18" s="11">
        <v>0</v>
      </c>
      <c r="E18" s="9">
        <v>0</v>
      </c>
      <c r="F18" s="11">
        <v>0</v>
      </c>
      <c r="G18" s="9">
        <f t="shared" si="0"/>
        <v>0</v>
      </c>
      <c r="H18" s="11">
        <v>0</v>
      </c>
      <c r="I18" s="70">
        <v>0</v>
      </c>
      <c r="J18" s="11">
        <f t="shared" si="1"/>
        <v>0</v>
      </c>
      <c r="K18" s="9">
        <f t="shared" si="2"/>
        <v>0</v>
      </c>
      <c r="L18" s="11">
        <f t="shared" si="3"/>
        <v>0</v>
      </c>
    </row>
    <row r="19" spans="1:12" s="1" customFormat="1" ht="14.25" x14ac:dyDescent="0.2">
      <c r="A19" s="5" t="s">
        <v>976</v>
      </c>
      <c r="B19" s="7" t="s">
        <v>30</v>
      </c>
      <c r="C19" s="29">
        <v>15000</v>
      </c>
      <c r="D19" s="11">
        <v>0</v>
      </c>
      <c r="E19" s="9">
        <v>0</v>
      </c>
      <c r="F19" s="11">
        <v>0</v>
      </c>
      <c r="G19" s="9">
        <f t="shared" si="0"/>
        <v>15000</v>
      </c>
      <c r="H19" s="11">
        <v>0</v>
      </c>
      <c r="I19" s="70">
        <v>0</v>
      </c>
      <c r="J19" s="11">
        <f t="shared" si="1"/>
        <v>15000</v>
      </c>
      <c r="K19" s="9">
        <v>0</v>
      </c>
      <c r="L19" s="11">
        <f t="shared" si="3"/>
        <v>0</v>
      </c>
    </row>
    <row r="20" spans="1:12" s="1" customFormat="1" ht="14.25" x14ac:dyDescent="0.2">
      <c r="A20" s="5" t="s">
        <v>977</v>
      </c>
      <c r="B20" s="7" t="s">
        <v>32</v>
      </c>
      <c r="C20" s="29">
        <v>4193109</v>
      </c>
      <c r="D20" s="11">
        <v>316684.21999999997</v>
      </c>
      <c r="E20" s="9">
        <v>0</v>
      </c>
      <c r="F20" s="11">
        <v>1899167.04</v>
      </c>
      <c r="G20" s="9">
        <f t="shared" si="0"/>
        <v>2293941.96</v>
      </c>
      <c r="H20" s="11">
        <v>45.29</v>
      </c>
      <c r="I20" s="70">
        <v>0</v>
      </c>
      <c r="J20" s="11">
        <f t="shared" si="1"/>
        <v>4193109</v>
      </c>
      <c r="K20" s="9">
        <f t="shared" si="2"/>
        <v>4444695.54</v>
      </c>
      <c r="L20" s="11">
        <f t="shared" si="3"/>
        <v>4889165.0940000005</v>
      </c>
    </row>
    <row r="21" spans="1:12" s="1" customFormat="1" ht="14.25" x14ac:dyDescent="0.2">
      <c r="A21" s="5" t="s">
        <v>978</v>
      </c>
      <c r="B21" s="7" t="s">
        <v>34</v>
      </c>
      <c r="C21" s="29">
        <v>0</v>
      </c>
      <c r="D21" s="11">
        <v>0</v>
      </c>
      <c r="E21" s="9">
        <v>0</v>
      </c>
      <c r="F21" s="11">
        <v>0</v>
      </c>
      <c r="G21" s="9">
        <f t="shared" si="0"/>
        <v>0</v>
      </c>
      <c r="H21" s="11">
        <v>0</v>
      </c>
      <c r="I21" s="70">
        <v>0</v>
      </c>
      <c r="J21" s="11">
        <f t="shared" si="1"/>
        <v>0</v>
      </c>
      <c r="K21" s="9">
        <f t="shared" si="2"/>
        <v>0</v>
      </c>
      <c r="L21" s="11">
        <f t="shared" si="3"/>
        <v>0</v>
      </c>
    </row>
    <row r="22" spans="1:12" s="1" customFormat="1" ht="14.25" x14ac:dyDescent="0.2">
      <c r="A22" s="5" t="s">
        <v>979</v>
      </c>
      <c r="B22" s="7" t="s">
        <v>36</v>
      </c>
      <c r="C22" s="29">
        <v>136344</v>
      </c>
      <c r="D22" s="11">
        <v>11634.51</v>
      </c>
      <c r="E22" s="9">
        <v>0</v>
      </c>
      <c r="F22" s="11">
        <v>69807.06</v>
      </c>
      <c r="G22" s="9">
        <f t="shared" si="0"/>
        <v>66536.94</v>
      </c>
      <c r="H22" s="11">
        <v>51.19</v>
      </c>
      <c r="I22" s="70">
        <v>0</v>
      </c>
      <c r="J22" s="11">
        <f t="shared" si="1"/>
        <v>136344</v>
      </c>
      <c r="K22" s="9">
        <f t="shared" si="2"/>
        <v>144524.64000000001</v>
      </c>
      <c r="L22" s="11">
        <f t="shared" si="3"/>
        <v>158977.10400000002</v>
      </c>
    </row>
    <row r="23" spans="1:12" s="1" customFormat="1" ht="14.25" x14ac:dyDescent="0.2">
      <c r="A23" s="5" t="s">
        <v>980</v>
      </c>
      <c r="B23" s="7" t="s">
        <v>44</v>
      </c>
      <c r="C23" s="29">
        <v>0</v>
      </c>
      <c r="D23" s="11">
        <v>0</v>
      </c>
      <c r="E23" s="9">
        <v>0</v>
      </c>
      <c r="F23" s="11">
        <v>15563.83</v>
      </c>
      <c r="G23" s="9">
        <f t="shared" si="0"/>
        <v>-15563.83</v>
      </c>
      <c r="H23" s="11">
        <v>0</v>
      </c>
      <c r="I23" s="70">
        <v>0</v>
      </c>
      <c r="J23" s="11">
        <f t="shared" si="1"/>
        <v>0</v>
      </c>
      <c r="K23" s="9">
        <f t="shared" si="2"/>
        <v>0</v>
      </c>
      <c r="L23" s="11">
        <f t="shared" si="3"/>
        <v>0</v>
      </c>
    </row>
    <row r="24" spans="1:12" s="1" customFormat="1" ht="14.25" x14ac:dyDescent="0.2">
      <c r="A24" s="5" t="s">
        <v>981</v>
      </c>
      <c r="B24" s="7" t="s">
        <v>46</v>
      </c>
      <c r="C24" s="29">
        <v>0</v>
      </c>
      <c r="D24" s="11">
        <v>0</v>
      </c>
      <c r="E24" s="9">
        <v>0</v>
      </c>
      <c r="F24" s="11">
        <v>0</v>
      </c>
      <c r="G24" s="9">
        <f t="shared" si="0"/>
        <v>0</v>
      </c>
      <c r="H24" s="11">
        <v>0</v>
      </c>
      <c r="I24" s="70">
        <v>0</v>
      </c>
      <c r="J24" s="11">
        <f t="shared" si="1"/>
        <v>0</v>
      </c>
      <c r="K24" s="9">
        <f t="shared" si="2"/>
        <v>0</v>
      </c>
      <c r="L24" s="11">
        <f t="shared" si="3"/>
        <v>0</v>
      </c>
    </row>
    <row r="25" spans="1:12" s="1" customFormat="1" ht="14.25" x14ac:dyDescent="0.2">
      <c r="A25" s="5" t="s">
        <v>982</v>
      </c>
      <c r="B25" s="7" t="s">
        <v>48</v>
      </c>
      <c r="C25" s="29">
        <v>0</v>
      </c>
      <c r="D25" s="11">
        <v>0</v>
      </c>
      <c r="E25" s="9">
        <v>0</v>
      </c>
      <c r="F25" s="11">
        <v>0</v>
      </c>
      <c r="G25" s="9">
        <f t="shared" si="0"/>
        <v>0</v>
      </c>
      <c r="H25" s="11">
        <v>0</v>
      </c>
      <c r="I25" s="70">
        <v>0</v>
      </c>
      <c r="J25" s="11">
        <f t="shared" si="1"/>
        <v>0</v>
      </c>
      <c r="K25" s="9">
        <f t="shared" si="2"/>
        <v>0</v>
      </c>
      <c r="L25" s="11">
        <f t="shared" si="3"/>
        <v>0</v>
      </c>
    </row>
    <row r="26" spans="1:12" s="1" customFormat="1" ht="14.25" x14ac:dyDescent="0.2">
      <c r="A26" s="5"/>
      <c r="B26" s="7"/>
      <c r="C26" s="29"/>
      <c r="D26" s="11"/>
      <c r="E26" s="9"/>
      <c r="F26" s="11"/>
      <c r="G26" s="9"/>
      <c r="H26" s="11"/>
      <c r="I26" s="70"/>
      <c r="J26" s="11"/>
      <c r="K26" s="9"/>
      <c r="L26" s="11"/>
    </row>
    <row r="27" spans="1:12" s="3" customFormat="1" x14ac:dyDescent="0.25">
      <c r="A27" s="18"/>
      <c r="B27" s="19" t="s">
        <v>49</v>
      </c>
      <c r="C27" s="28">
        <f>SUM(C10:C26)</f>
        <v>4931287</v>
      </c>
      <c r="D27" s="36">
        <f t="shared" ref="D27:G27" si="4">SUM(D10:D26)</f>
        <v>369936.66</v>
      </c>
      <c r="E27" s="28">
        <f t="shared" si="4"/>
        <v>0</v>
      </c>
      <c r="F27" s="36">
        <f t="shared" si="4"/>
        <v>2145336.0700000003</v>
      </c>
      <c r="G27" s="28">
        <f t="shared" si="4"/>
        <v>2785950.9299999997</v>
      </c>
      <c r="H27" s="21">
        <v>43.5</v>
      </c>
      <c r="I27" s="71">
        <f t="shared" ref="I27:L27" si="5">SUM(I10:I26)</f>
        <v>60000</v>
      </c>
      <c r="J27" s="36">
        <f t="shared" si="5"/>
        <v>4991287</v>
      </c>
      <c r="K27" s="28">
        <f t="shared" si="5"/>
        <v>5274864.22</v>
      </c>
      <c r="L27" s="36">
        <f t="shared" si="5"/>
        <v>5802350.6420000009</v>
      </c>
    </row>
    <row r="28" spans="1:12" s="3" customFormat="1" x14ac:dyDescent="0.25">
      <c r="A28" s="18"/>
      <c r="B28" s="19"/>
      <c r="C28" s="28"/>
      <c r="D28" s="21"/>
      <c r="E28" s="20"/>
      <c r="F28" s="21"/>
      <c r="G28" s="20"/>
      <c r="H28" s="21"/>
      <c r="I28" s="69"/>
      <c r="J28" s="21"/>
      <c r="K28" s="20"/>
      <c r="L28" s="21"/>
    </row>
    <row r="29" spans="1:12" s="3" customFormat="1" x14ac:dyDescent="0.25">
      <c r="A29" s="18"/>
      <c r="B29" s="19" t="s">
        <v>50</v>
      </c>
      <c r="C29" s="28"/>
      <c r="D29" s="21"/>
      <c r="E29" s="20"/>
      <c r="F29" s="21"/>
      <c r="G29" s="20"/>
      <c r="H29" s="21"/>
      <c r="I29" s="69"/>
      <c r="J29" s="21"/>
      <c r="K29" s="20"/>
      <c r="L29" s="21"/>
    </row>
    <row r="30" spans="1:12" s="1" customFormat="1" ht="14.25" x14ac:dyDescent="0.2">
      <c r="A30" s="5"/>
      <c r="B30" s="7"/>
      <c r="C30" s="29"/>
      <c r="D30" s="11"/>
      <c r="E30" s="9"/>
      <c r="F30" s="11"/>
      <c r="G30" s="9"/>
      <c r="H30" s="11"/>
      <c r="I30" s="70"/>
      <c r="J30" s="11"/>
      <c r="K30" s="9"/>
      <c r="L30" s="11"/>
    </row>
    <row r="31" spans="1:12" s="1" customFormat="1" ht="14.25" x14ac:dyDescent="0.2">
      <c r="A31" s="5" t="s">
        <v>983</v>
      </c>
      <c r="B31" s="7" t="s">
        <v>53</v>
      </c>
      <c r="C31" s="29">
        <v>1905</v>
      </c>
      <c r="D31" s="11">
        <v>152.25</v>
      </c>
      <c r="E31" s="9">
        <v>0</v>
      </c>
      <c r="F31" s="11">
        <v>913.5</v>
      </c>
      <c r="G31" s="9">
        <f t="shared" ref="G31:G36" si="6">C31-E31-F31</f>
        <v>991.5</v>
      </c>
      <c r="H31" s="11">
        <v>47.95</v>
      </c>
      <c r="I31" s="70">
        <v>0</v>
      </c>
      <c r="J31" s="11">
        <f t="shared" ref="J31:J36" si="7">C31+I31</f>
        <v>1905</v>
      </c>
      <c r="K31" s="9">
        <f t="shared" ref="K31:K36" si="8">J31*6/100+J31</f>
        <v>2019.3</v>
      </c>
      <c r="L31" s="11">
        <f t="shared" ref="L31:L36" si="9">K31*10/100+K31</f>
        <v>2221.23</v>
      </c>
    </row>
    <row r="32" spans="1:12" s="1" customFormat="1" ht="14.25" x14ac:dyDescent="0.2">
      <c r="A32" s="5" t="s">
        <v>984</v>
      </c>
      <c r="B32" s="7" t="s">
        <v>55</v>
      </c>
      <c r="C32" s="29">
        <v>36279</v>
      </c>
      <c r="D32" s="11">
        <v>2943.56</v>
      </c>
      <c r="E32" s="9">
        <v>0</v>
      </c>
      <c r="F32" s="11">
        <v>17602.080000000002</v>
      </c>
      <c r="G32" s="9">
        <f t="shared" si="6"/>
        <v>18676.919999999998</v>
      </c>
      <c r="H32" s="11">
        <v>48.51</v>
      </c>
      <c r="I32" s="70">
        <v>0</v>
      </c>
      <c r="J32" s="11">
        <f t="shared" si="7"/>
        <v>36279</v>
      </c>
      <c r="K32" s="9">
        <f t="shared" si="8"/>
        <v>38455.74</v>
      </c>
      <c r="L32" s="11">
        <f t="shared" si="9"/>
        <v>42301.313999999998</v>
      </c>
    </row>
    <row r="33" spans="1:12" s="1" customFormat="1" ht="14.25" x14ac:dyDescent="0.2">
      <c r="A33" s="5" t="s">
        <v>985</v>
      </c>
      <c r="B33" s="7" t="s">
        <v>57</v>
      </c>
      <c r="C33" s="29">
        <v>235168</v>
      </c>
      <c r="D33" s="11">
        <v>13923</v>
      </c>
      <c r="E33" s="9">
        <v>0</v>
      </c>
      <c r="F33" s="11">
        <v>82772.88</v>
      </c>
      <c r="G33" s="9">
        <f t="shared" si="6"/>
        <v>152395.12</v>
      </c>
      <c r="H33" s="11">
        <v>35.19</v>
      </c>
      <c r="I33" s="70">
        <v>0</v>
      </c>
      <c r="J33" s="11">
        <f t="shared" si="7"/>
        <v>235168</v>
      </c>
      <c r="K33" s="9">
        <f t="shared" si="8"/>
        <v>249278.07999999999</v>
      </c>
      <c r="L33" s="11">
        <f t="shared" si="9"/>
        <v>274205.88799999998</v>
      </c>
    </row>
    <row r="34" spans="1:12" s="1" customFormat="1" ht="14.25" x14ac:dyDescent="0.2">
      <c r="A34" s="5" t="s">
        <v>986</v>
      </c>
      <c r="B34" s="7" t="s">
        <v>59</v>
      </c>
      <c r="C34" s="29">
        <v>914564</v>
      </c>
      <c r="D34" s="11">
        <v>66925.25</v>
      </c>
      <c r="E34" s="9">
        <v>0</v>
      </c>
      <c r="F34" s="11">
        <v>401345.03</v>
      </c>
      <c r="G34" s="9">
        <f t="shared" si="6"/>
        <v>513218.97</v>
      </c>
      <c r="H34" s="11">
        <v>43.88</v>
      </c>
      <c r="I34" s="70">
        <v>0</v>
      </c>
      <c r="J34" s="11">
        <f t="shared" si="7"/>
        <v>914564</v>
      </c>
      <c r="K34" s="9">
        <f t="shared" si="8"/>
        <v>969437.84</v>
      </c>
      <c r="L34" s="11">
        <f t="shared" si="9"/>
        <v>1066381.6240000001</v>
      </c>
    </row>
    <row r="35" spans="1:12" s="1" customFormat="1" ht="14.25" x14ac:dyDescent="0.2">
      <c r="A35" s="5" t="s">
        <v>987</v>
      </c>
      <c r="B35" s="7" t="s">
        <v>60</v>
      </c>
      <c r="C35" s="29">
        <v>0</v>
      </c>
      <c r="D35" s="11">
        <v>0</v>
      </c>
      <c r="E35" s="9">
        <v>0</v>
      </c>
      <c r="F35" s="11">
        <v>0</v>
      </c>
      <c r="G35" s="9">
        <f t="shared" si="6"/>
        <v>0</v>
      </c>
      <c r="H35" s="11">
        <v>0</v>
      </c>
      <c r="I35" s="70">
        <v>0</v>
      </c>
      <c r="J35" s="11">
        <f t="shared" si="7"/>
        <v>0</v>
      </c>
      <c r="K35" s="9">
        <f t="shared" si="8"/>
        <v>0</v>
      </c>
      <c r="L35" s="11">
        <f t="shared" si="9"/>
        <v>0</v>
      </c>
    </row>
    <row r="36" spans="1:12" s="1" customFormat="1" ht="14.25" x14ac:dyDescent="0.2">
      <c r="A36" s="5" t="s">
        <v>988</v>
      </c>
      <c r="B36" s="7" t="s">
        <v>62</v>
      </c>
      <c r="C36" s="29">
        <v>83862</v>
      </c>
      <c r="D36" s="11">
        <v>3574.06</v>
      </c>
      <c r="E36" s="9">
        <v>0</v>
      </c>
      <c r="F36" s="11">
        <v>20730.96</v>
      </c>
      <c r="G36" s="9">
        <f t="shared" si="6"/>
        <v>63131.040000000001</v>
      </c>
      <c r="H36" s="11">
        <v>24.72</v>
      </c>
      <c r="I36" s="70">
        <v>0</v>
      </c>
      <c r="J36" s="11">
        <f t="shared" si="7"/>
        <v>83862</v>
      </c>
      <c r="K36" s="9">
        <f t="shared" si="8"/>
        <v>88893.72</v>
      </c>
      <c r="L36" s="11">
        <f t="shared" si="9"/>
        <v>97783.092000000004</v>
      </c>
    </row>
    <row r="37" spans="1:12" s="3" customFormat="1" x14ac:dyDescent="0.25">
      <c r="A37" s="18"/>
      <c r="B37" s="19"/>
      <c r="C37" s="28"/>
      <c r="D37" s="21"/>
      <c r="E37" s="20"/>
      <c r="F37" s="21"/>
      <c r="G37" s="20"/>
      <c r="H37" s="21"/>
      <c r="I37" s="69"/>
      <c r="J37" s="21"/>
      <c r="K37" s="20"/>
      <c r="L37" s="21"/>
    </row>
    <row r="38" spans="1:12" s="3" customFormat="1" x14ac:dyDescent="0.25">
      <c r="A38" s="18"/>
      <c r="B38" s="19" t="s">
        <v>63</v>
      </c>
      <c r="C38" s="28">
        <f>SUM(C31:C37)</f>
        <v>1271778</v>
      </c>
      <c r="D38" s="36">
        <f t="shared" ref="D38:G38" si="10">SUM(D31:D37)</f>
        <v>87518.12</v>
      </c>
      <c r="E38" s="28">
        <f t="shared" si="10"/>
        <v>0</v>
      </c>
      <c r="F38" s="36">
        <f t="shared" si="10"/>
        <v>523364.45000000007</v>
      </c>
      <c r="G38" s="28">
        <f t="shared" si="10"/>
        <v>748413.55</v>
      </c>
      <c r="H38" s="21">
        <v>41.15</v>
      </c>
      <c r="I38" s="71">
        <f t="shared" ref="I38:L38" si="11">SUM(I31:I37)</f>
        <v>0</v>
      </c>
      <c r="J38" s="36">
        <f t="shared" si="11"/>
        <v>1271778</v>
      </c>
      <c r="K38" s="28">
        <f t="shared" si="11"/>
        <v>1348084.68</v>
      </c>
      <c r="L38" s="36">
        <f t="shared" si="11"/>
        <v>1482893.148</v>
      </c>
    </row>
    <row r="39" spans="1:12" s="3" customFormat="1" x14ac:dyDescent="0.25">
      <c r="A39" s="18"/>
      <c r="B39" s="19"/>
      <c r="C39" s="28"/>
      <c r="D39" s="21"/>
      <c r="E39" s="20"/>
      <c r="F39" s="21"/>
      <c r="G39" s="20"/>
      <c r="H39" s="21"/>
      <c r="I39" s="69"/>
      <c r="J39" s="21"/>
      <c r="K39" s="20"/>
      <c r="L39" s="21"/>
    </row>
    <row r="40" spans="1:12" s="3" customFormat="1" x14ac:dyDescent="0.25">
      <c r="A40" s="18"/>
      <c r="B40" s="19" t="s">
        <v>73</v>
      </c>
      <c r="C40" s="28">
        <f>C27+C38</f>
        <v>6203065</v>
      </c>
      <c r="D40" s="36">
        <f t="shared" ref="D40:L40" si="12">D27+D38</f>
        <v>457454.77999999997</v>
      </c>
      <c r="E40" s="28">
        <f t="shared" si="12"/>
        <v>0</v>
      </c>
      <c r="F40" s="36">
        <f t="shared" si="12"/>
        <v>2668700.5200000005</v>
      </c>
      <c r="G40" s="28">
        <f t="shared" si="12"/>
        <v>3534364.4799999995</v>
      </c>
      <c r="H40" s="21">
        <v>43.02</v>
      </c>
      <c r="I40" s="71">
        <f t="shared" si="12"/>
        <v>60000</v>
      </c>
      <c r="J40" s="36">
        <f t="shared" si="12"/>
        <v>6263065</v>
      </c>
      <c r="K40" s="28">
        <f t="shared" si="12"/>
        <v>6622948.8999999994</v>
      </c>
      <c r="L40" s="36">
        <f t="shared" si="12"/>
        <v>7285243.790000001</v>
      </c>
    </row>
    <row r="41" spans="1:12" s="3" customFormat="1" x14ac:dyDescent="0.25">
      <c r="A41" s="18"/>
      <c r="B41" s="19"/>
      <c r="C41" s="28"/>
      <c r="D41" s="21"/>
      <c r="E41" s="20"/>
      <c r="F41" s="21"/>
      <c r="G41" s="20"/>
      <c r="H41" s="21"/>
      <c r="I41" s="69"/>
      <c r="J41" s="21"/>
      <c r="K41" s="20"/>
      <c r="L41" s="21"/>
    </row>
    <row r="42" spans="1:12" s="3" customFormat="1" x14ac:dyDescent="0.25">
      <c r="A42" s="18"/>
      <c r="B42" s="19" t="s">
        <v>74</v>
      </c>
      <c r="C42" s="28"/>
      <c r="D42" s="21"/>
      <c r="E42" s="20"/>
      <c r="F42" s="21"/>
      <c r="G42" s="20"/>
      <c r="H42" s="21"/>
      <c r="I42" s="69"/>
      <c r="J42" s="21"/>
      <c r="K42" s="20"/>
      <c r="L42" s="21"/>
    </row>
    <row r="43" spans="1:12" s="3" customFormat="1" x14ac:dyDescent="0.25">
      <c r="A43" s="18"/>
      <c r="B43" s="19"/>
      <c r="C43" s="28"/>
      <c r="D43" s="21"/>
      <c r="E43" s="20"/>
      <c r="F43" s="21"/>
      <c r="G43" s="20"/>
      <c r="H43" s="21"/>
      <c r="I43" s="69"/>
      <c r="J43" s="21"/>
      <c r="K43" s="20"/>
      <c r="L43" s="21"/>
    </row>
    <row r="44" spans="1:12" s="3" customFormat="1" x14ac:dyDescent="0.25">
      <c r="A44" s="18"/>
      <c r="B44" s="19" t="s">
        <v>75</v>
      </c>
      <c r="C44" s="28"/>
      <c r="D44" s="21"/>
      <c r="E44" s="20"/>
      <c r="F44" s="21"/>
      <c r="G44" s="20"/>
      <c r="H44" s="21"/>
      <c r="I44" s="69"/>
      <c r="J44" s="21"/>
      <c r="K44" s="20"/>
      <c r="L44" s="21"/>
    </row>
    <row r="45" spans="1:12" s="3" customFormat="1" x14ac:dyDescent="0.25">
      <c r="A45" s="18"/>
      <c r="B45" s="19"/>
      <c r="C45" s="28"/>
      <c r="D45" s="21"/>
      <c r="E45" s="20"/>
      <c r="F45" s="21"/>
      <c r="G45" s="20"/>
      <c r="H45" s="21"/>
      <c r="I45" s="69"/>
      <c r="J45" s="21"/>
      <c r="K45" s="20"/>
      <c r="L45" s="21"/>
    </row>
    <row r="46" spans="1:12" s="1" customFormat="1" ht="14.25" x14ac:dyDescent="0.2">
      <c r="A46" s="5" t="s">
        <v>989</v>
      </c>
      <c r="B46" s="7" t="s">
        <v>135</v>
      </c>
      <c r="C46" s="29">
        <v>1500000</v>
      </c>
      <c r="D46" s="11">
        <v>6527.3</v>
      </c>
      <c r="E46" s="9">
        <v>12049.71</v>
      </c>
      <c r="F46" s="11">
        <v>88438.79</v>
      </c>
      <c r="G46" s="9">
        <v>1411561.21</v>
      </c>
      <c r="H46" s="11">
        <v>5.89</v>
      </c>
      <c r="I46" s="70">
        <v>0</v>
      </c>
      <c r="J46" s="11">
        <f t="shared" ref="J46" si="13">C46+I46</f>
        <v>1500000</v>
      </c>
      <c r="K46" s="9">
        <f>'[2]ALL DEPARTMENTS'!$I$1453</f>
        <v>1500000</v>
      </c>
      <c r="L46" s="11">
        <v>1500000</v>
      </c>
    </row>
    <row r="47" spans="1:12" s="1" customFormat="1" ht="14.25" x14ac:dyDescent="0.2">
      <c r="A47" s="5" t="s">
        <v>990</v>
      </c>
      <c r="B47" s="7" t="s">
        <v>187</v>
      </c>
      <c r="C47" s="29">
        <v>0</v>
      </c>
      <c r="D47" s="11">
        <v>0</v>
      </c>
      <c r="E47" s="9">
        <v>0</v>
      </c>
      <c r="F47" s="11">
        <v>0</v>
      </c>
      <c r="G47" s="9">
        <v>0</v>
      </c>
      <c r="H47" s="11">
        <v>0</v>
      </c>
      <c r="I47" s="70">
        <v>0</v>
      </c>
      <c r="J47" s="11"/>
      <c r="K47" s="9"/>
      <c r="L47" s="11"/>
    </row>
    <row r="48" spans="1:12" s="1" customFormat="1" ht="14.25" x14ac:dyDescent="0.2">
      <c r="A48" s="5" t="s">
        <v>991</v>
      </c>
      <c r="B48" s="7" t="s">
        <v>262</v>
      </c>
      <c r="C48" s="29">
        <v>0</v>
      </c>
      <c r="D48" s="11">
        <v>0</v>
      </c>
      <c r="E48" s="9">
        <v>0</v>
      </c>
      <c r="F48" s="11">
        <v>0</v>
      </c>
      <c r="G48" s="9">
        <v>0</v>
      </c>
      <c r="H48" s="11">
        <v>0</v>
      </c>
      <c r="I48" s="70">
        <v>0</v>
      </c>
      <c r="J48" s="11"/>
      <c r="K48" s="9"/>
      <c r="L48" s="11"/>
    </row>
    <row r="49" spans="1:12" s="1" customFormat="1" ht="14.25" x14ac:dyDescent="0.2">
      <c r="A49" s="5" t="s">
        <v>992</v>
      </c>
      <c r="B49" s="7" t="s">
        <v>276</v>
      </c>
      <c r="C49" s="29">
        <v>0</v>
      </c>
      <c r="D49" s="11">
        <v>0</v>
      </c>
      <c r="E49" s="9">
        <v>0</v>
      </c>
      <c r="F49" s="11">
        <v>0</v>
      </c>
      <c r="G49" s="9">
        <v>0</v>
      </c>
      <c r="H49" s="11">
        <v>0</v>
      </c>
      <c r="I49" s="70">
        <v>0</v>
      </c>
      <c r="J49" s="11"/>
      <c r="K49" s="9"/>
      <c r="L49" s="11"/>
    </row>
    <row r="50" spans="1:12" s="1" customFormat="1" ht="14.25" x14ac:dyDescent="0.2">
      <c r="A50" s="5"/>
      <c r="B50" s="7"/>
      <c r="C50" s="29"/>
      <c r="D50" s="11"/>
      <c r="E50" s="9"/>
      <c r="F50" s="11"/>
      <c r="G50" s="9"/>
      <c r="H50" s="11"/>
      <c r="I50" s="70"/>
      <c r="J50" s="11"/>
      <c r="K50" s="9"/>
      <c r="L50" s="11"/>
    </row>
    <row r="51" spans="1:12" s="3" customFormat="1" x14ac:dyDescent="0.25">
      <c r="A51" s="18"/>
      <c r="B51" s="19" t="s">
        <v>287</v>
      </c>
      <c r="C51" s="28">
        <f>SUM(C46:C50)</f>
        <v>1500000</v>
      </c>
      <c r="D51" s="36">
        <f t="shared" ref="D51:G51" si="14">SUM(D46:D50)</f>
        <v>6527.3</v>
      </c>
      <c r="E51" s="28">
        <f t="shared" si="14"/>
        <v>12049.71</v>
      </c>
      <c r="F51" s="36">
        <f t="shared" si="14"/>
        <v>88438.79</v>
      </c>
      <c r="G51" s="28">
        <f t="shared" si="14"/>
        <v>1411561.21</v>
      </c>
      <c r="H51" s="21">
        <v>5.89</v>
      </c>
      <c r="I51" s="71">
        <f t="shared" ref="I51:L51" si="15">SUM(I46:I50)</f>
        <v>0</v>
      </c>
      <c r="J51" s="36">
        <f t="shared" si="15"/>
        <v>1500000</v>
      </c>
      <c r="K51" s="28">
        <f t="shared" si="15"/>
        <v>1500000</v>
      </c>
      <c r="L51" s="36">
        <f t="shared" si="15"/>
        <v>1500000</v>
      </c>
    </row>
    <row r="52" spans="1:12" s="3" customFormat="1" x14ac:dyDescent="0.25">
      <c r="A52" s="18"/>
      <c r="B52" s="19"/>
      <c r="C52" s="28"/>
      <c r="D52" s="21"/>
      <c r="E52" s="20"/>
      <c r="F52" s="21"/>
      <c r="G52" s="20"/>
      <c r="H52" s="21"/>
      <c r="I52" s="69"/>
      <c r="J52" s="21"/>
      <c r="K52" s="20"/>
      <c r="L52" s="21"/>
    </row>
    <row r="53" spans="1:12" s="3" customFormat="1" x14ac:dyDescent="0.25">
      <c r="A53" s="18"/>
      <c r="B53" s="19" t="s">
        <v>292</v>
      </c>
      <c r="C53" s="28">
        <f>C51</f>
        <v>1500000</v>
      </c>
      <c r="D53" s="36">
        <f t="shared" ref="D53:L53" si="16">D51</f>
        <v>6527.3</v>
      </c>
      <c r="E53" s="28">
        <f t="shared" si="16"/>
        <v>12049.71</v>
      </c>
      <c r="F53" s="36">
        <f t="shared" si="16"/>
        <v>88438.79</v>
      </c>
      <c r="G53" s="28">
        <f t="shared" si="16"/>
        <v>1411561.21</v>
      </c>
      <c r="H53" s="21">
        <v>5.89</v>
      </c>
      <c r="I53" s="71">
        <f t="shared" si="16"/>
        <v>0</v>
      </c>
      <c r="J53" s="36">
        <f t="shared" si="16"/>
        <v>1500000</v>
      </c>
      <c r="K53" s="28">
        <f t="shared" si="16"/>
        <v>1500000</v>
      </c>
      <c r="L53" s="36">
        <f t="shared" si="16"/>
        <v>1500000</v>
      </c>
    </row>
    <row r="54" spans="1:12" s="3" customFormat="1" x14ac:dyDescent="0.25">
      <c r="A54" s="18"/>
      <c r="B54" s="19"/>
      <c r="C54" s="28"/>
      <c r="D54" s="21"/>
      <c r="E54" s="20"/>
      <c r="F54" s="21"/>
      <c r="G54" s="20"/>
      <c r="H54" s="21"/>
      <c r="I54" s="69"/>
      <c r="J54" s="21"/>
      <c r="K54" s="20"/>
      <c r="L54" s="21"/>
    </row>
    <row r="55" spans="1:12" s="3" customFormat="1" x14ac:dyDescent="0.25">
      <c r="A55" s="18"/>
      <c r="B55" s="19" t="s">
        <v>338</v>
      </c>
      <c r="C55" s="28">
        <f>C40+C53</f>
        <v>7703065</v>
      </c>
      <c r="D55" s="36">
        <f t="shared" ref="D55:L55" si="17">D40+D53</f>
        <v>463982.07999999996</v>
      </c>
      <c r="E55" s="28">
        <f t="shared" si="17"/>
        <v>12049.71</v>
      </c>
      <c r="F55" s="36">
        <f t="shared" si="17"/>
        <v>2757139.3100000005</v>
      </c>
      <c r="G55" s="28">
        <f t="shared" si="17"/>
        <v>4945925.6899999995</v>
      </c>
      <c r="H55" s="21">
        <v>35.79</v>
      </c>
      <c r="I55" s="71">
        <f t="shared" si="17"/>
        <v>60000</v>
      </c>
      <c r="J55" s="36">
        <f t="shared" si="17"/>
        <v>7763065</v>
      </c>
      <c r="K55" s="28">
        <f t="shared" si="17"/>
        <v>8122948.8999999994</v>
      </c>
      <c r="L55" s="36">
        <f t="shared" si="17"/>
        <v>8785243.790000001</v>
      </c>
    </row>
    <row r="56" spans="1:12" s="1" customFormat="1" ht="14.25" x14ac:dyDescent="0.2">
      <c r="A56" s="5"/>
      <c r="B56" s="7"/>
      <c r="C56" s="29"/>
      <c r="D56" s="11"/>
      <c r="E56" s="9"/>
      <c r="F56" s="11"/>
      <c r="G56" s="9"/>
      <c r="H56" s="11"/>
      <c r="I56" s="70"/>
      <c r="J56" s="11"/>
      <c r="K56" s="9"/>
      <c r="L56" s="11"/>
    </row>
    <row r="57" spans="1:12" s="3" customFormat="1" x14ac:dyDescent="0.25">
      <c r="A57" s="18"/>
      <c r="B57" s="19" t="s">
        <v>339</v>
      </c>
      <c r="C57" s="28">
        <f>C55</f>
        <v>7703065</v>
      </c>
      <c r="D57" s="36">
        <f t="shared" ref="D57:G57" si="18">D55</f>
        <v>463982.07999999996</v>
      </c>
      <c r="E57" s="28">
        <f t="shared" si="18"/>
        <v>12049.71</v>
      </c>
      <c r="F57" s="36">
        <f t="shared" si="18"/>
        <v>2757139.3100000005</v>
      </c>
      <c r="G57" s="28">
        <f t="shared" si="18"/>
        <v>4945925.6899999995</v>
      </c>
      <c r="H57" s="21">
        <v>35.79</v>
      </c>
      <c r="I57" s="71">
        <f t="shared" ref="I57:L57" si="19">I55</f>
        <v>60000</v>
      </c>
      <c r="J57" s="36">
        <f t="shared" si="19"/>
        <v>7763065</v>
      </c>
      <c r="K57" s="28">
        <f t="shared" si="19"/>
        <v>8122948.8999999994</v>
      </c>
      <c r="L57" s="36">
        <f t="shared" si="19"/>
        <v>8785243.790000001</v>
      </c>
    </row>
    <row r="58" spans="1:12" s="3" customFormat="1" x14ac:dyDescent="0.25">
      <c r="A58" s="18"/>
      <c r="B58" s="19"/>
      <c r="C58" s="28"/>
      <c r="D58" s="21"/>
      <c r="E58" s="20"/>
      <c r="F58" s="21"/>
      <c r="G58" s="20"/>
      <c r="H58" s="21"/>
      <c r="I58" s="69"/>
      <c r="J58" s="21"/>
      <c r="K58" s="20"/>
      <c r="L58" s="21"/>
    </row>
    <row r="59" spans="1:12" s="3" customFormat="1" x14ac:dyDescent="0.25">
      <c r="A59" s="18"/>
      <c r="B59" s="19" t="s">
        <v>340</v>
      </c>
      <c r="C59" s="28"/>
      <c r="D59" s="21"/>
      <c r="E59" s="20"/>
      <c r="F59" s="21"/>
      <c r="G59" s="20"/>
      <c r="H59" s="21"/>
      <c r="I59" s="69"/>
      <c r="J59" s="21"/>
      <c r="K59" s="20"/>
      <c r="L59" s="21"/>
    </row>
    <row r="60" spans="1:12" s="3" customFormat="1" x14ac:dyDescent="0.25">
      <c r="A60" s="18"/>
      <c r="B60" s="19"/>
      <c r="C60" s="28"/>
      <c r="D60" s="21"/>
      <c r="E60" s="20"/>
      <c r="F60" s="21"/>
      <c r="G60" s="20"/>
      <c r="H60" s="21"/>
      <c r="I60" s="69"/>
      <c r="J60" s="21"/>
      <c r="K60" s="20"/>
      <c r="L60" s="21"/>
    </row>
    <row r="61" spans="1:12" s="3" customFormat="1" x14ac:dyDescent="0.25">
      <c r="A61" s="18"/>
      <c r="B61" s="19" t="s">
        <v>353</v>
      </c>
      <c r="C61" s="28"/>
      <c r="D61" s="21"/>
      <c r="E61" s="20"/>
      <c r="F61" s="21"/>
      <c r="G61" s="20"/>
      <c r="H61" s="21"/>
      <c r="I61" s="69"/>
      <c r="J61" s="21"/>
      <c r="K61" s="20"/>
      <c r="L61" s="21"/>
    </row>
    <row r="62" spans="1:12" s="3" customFormat="1" x14ac:dyDescent="0.25">
      <c r="A62" s="18"/>
      <c r="B62" s="19"/>
      <c r="C62" s="28"/>
      <c r="D62" s="21"/>
      <c r="E62" s="20"/>
      <c r="F62" s="21"/>
      <c r="G62" s="20"/>
      <c r="H62" s="21"/>
      <c r="I62" s="69"/>
      <c r="J62" s="21"/>
      <c r="K62" s="20"/>
      <c r="L62" s="21"/>
    </row>
    <row r="63" spans="1:12" s="1" customFormat="1" ht="14.25" x14ac:dyDescent="0.2">
      <c r="A63" s="5" t="s">
        <v>993</v>
      </c>
      <c r="B63" s="7" t="s">
        <v>355</v>
      </c>
      <c r="C63" s="29">
        <v>-1500000</v>
      </c>
      <c r="D63" s="11">
        <v>0</v>
      </c>
      <c r="E63" s="9">
        <v>0</v>
      </c>
      <c r="F63" s="11">
        <v>0</v>
      </c>
      <c r="G63" s="9">
        <v>-1500000</v>
      </c>
      <c r="H63" s="11">
        <v>0</v>
      </c>
      <c r="I63" s="70">
        <v>0</v>
      </c>
      <c r="J63" s="11">
        <f t="shared" ref="J63" si="20">C63+I63</f>
        <v>-1500000</v>
      </c>
      <c r="K63" s="9">
        <f>'[2]ALL DEPARTMENTS'!$I$1467</f>
        <v>-1500000</v>
      </c>
      <c r="L63" s="11">
        <v>-1500000</v>
      </c>
    </row>
    <row r="64" spans="1:12" s="1" customFormat="1" ht="14.25" x14ac:dyDescent="0.2">
      <c r="A64" s="5" t="s">
        <v>994</v>
      </c>
      <c r="B64" s="7" t="s">
        <v>357</v>
      </c>
      <c r="C64" s="29">
        <v>0</v>
      </c>
      <c r="D64" s="11">
        <v>0</v>
      </c>
      <c r="E64" s="9">
        <v>0</v>
      </c>
      <c r="F64" s="11">
        <v>0</v>
      </c>
      <c r="G64" s="9">
        <v>0</v>
      </c>
      <c r="H64" s="11">
        <v>0</v>
      </c>
      <c r="I64" s="70"/>
      <c r="J64" s="11"/>
      <c r="K64" s="9"/>
      <c r="L64" s="11"/>
    </row>
    <row r="65" spans="1:12" s="1" customFormat="1" ht="14.25" x14ac:dyDescent="0.2">
      <c r="A65" s="5"/>
      <c r="B65" s="7"/>
      <c r="C65" s="29"/>
      <c r="D65" s="11"/>
      <c r="E65" s="9"/>
      <c r="F65" s="11"/>
      <c r="G65" s="9"/>
      <c r="H65" s="11"/>
      <c r="I65" s="70"/>
      <c r="J65" s="11"/>
      <c r="K65" s="9"/>
      <c r="L65" s="11"/>
    </row>
    <row r="66" spans="1:12" s="3" customFormat="1" x14ac:dyDescent="0.25">
      <c r="A66" s="18"/>
      <c r="B66" s="19" t="s">
        <v>360</v>
      </c>
      <c r="C66" s="28">
        <f>SUM(C63:C65)</f>
        <v>-1500000</v>
      </c>
      <c r="D66" s="36">
        <f t="shared" ref="D66:G66" si="21">SUM(D63:D65)</f>
        <v>0</v>
      </c>
      <c r="E66" s="28">
        <f t="shared" si="21"/>
        <v>0</v>
      </c>
      <c r="F66" s="36">
        <f t="shared" si="21"/>
        <v>0</v>
      </c>
      <c r="G66" s="28">
        <f t="shared" si="21"/>
        <v>-1500000</v>
      </c>
      <c r="H66" s="21">
        <v>0</v>
      </c>
      <c r="I66" s="71">
        <f t="shared" ref="I66:L66" si="22">SUM(I63:I65)</f>
        <v>0</v>
      </c>
      <c r="J66" s="36">
        <f t="shared" si="22"/>
        <v>-1500000</v>
      </c>
      <c r="K66" s="28">
        <f t="shared" si="22"/>
        <v>-1500000</v>
      </c>
      <c r="L66" s="36">
        <f t="shared" si="22"/>
        <v>-1500000</v>
      </c>
    </row>
    <row r="67" spans="1:12" s="3" customFormat="1" x14ac:dyDescent="0.25">
      <c r="A67" s="18"/>
      <c r="B67" s="19"/>
      <c r="C67" s="28"/>
      <c r="D67" s="21"/>
      <c r="E67" s="20"/>
      <c r="F67" s="21"/>
      <c r="G67" s="20"/>
      <c r="H67" s="21"/>
      <c r="I67" s="69"/>
      <c r="J67" s="21"/>
      <c r="K67" s="20"/>
      <c r="L67" s="21"/>
    </row>
    <row r="68" spans="1:12" s="3" customFormat="1" x14ac:dyDescent="0.25">
      <c r="A68" s="18"/>
      <c r="B68" s="19" t="s">
        <v>381</v>
      </c>
      <c r="C68" s="28"/>
      <c r="D68" s="21"/>
      <c r="E68" s="20"/>
      <c r="F68" s="21"/>
      <c r="G68" s="20"/>
      <c r="H68" s="21"/>
      <c r="I68" s="69"/>
      <c r="J68" s="21"/>
      <c r="K68" s="20"/>
      <c r="L68" s="21"/>
    </row>
    <row r="69" spans="1:12" s="3" customFormat="1" x14ac:dyDescent="0.25">
      <c r="A69" s="18"/>
      <c r="B69" s="19"/>
      <c r="C69" s="28"/>
      <c r="D69" s="21"/>
      <c r="E69" s="20"/>
      <c r="F69" s="21"/>
      <c r="G69" s="20"/>
      <c r="H69" s="21"/>
      <c r="I69" s="69"/>
      <c r="J69" s="21"/>
      <c r="K69" s="20"/>
      <c r="L69" s="21"/>
    </row>
    <row r="70" spans="1:12" s="1" customFormat="1" ht="14.25" x14ac:dyDescent="0.2">
      <c r="A70" s="5" t="s">
        <v>995</v>
      </c>
      <c r="B70" s="7" t="s">
        <v>422</v>
      </c>
      <c r="C70" s="29">
        <v>-1138332</v>
      </c>
      <c r="D70" s="11">
        <v>-366365.63</v>
      </c>
      <c r="E70" s="9">
        <v>0</v>
      </c>
      <c r="F70" s="11">
        <v>-902199.92</v>
      </c>
      <c r="G70" s="9">
        <v>-236132.08</v>
      </c>
      <c r="H70" s="11">
        <v>79.25</v>
      </c>
      <c r="I70" s="70">
        <v>-666067.84</v>
      </c>
      <c r="J70" s="11">
        <f t="shared" ref="J70:J71" si="23">C70+I70</f>
        <v>-1804399.8399999999</v>
      </c>
      <c r="K70" s="9">
        <f t="shared" ref="K70:K71" si="24">J70*6/100+J70</f>
        <v>-1912663.8303999999</v>
      </c>
      <c r="L70" s="11">
        <f t="shared" ref="L70:L71" si="25">K70*10/100+K70</f>
        <v>-2103930.2134400001</v>
      </c>
    </row>
    <row r="71" spans="1:12" s="1" customFormat="1" ht="14.25" x14ac:dyDescent="0.2">
      <c r="A71" s="5" t="s">
        <v>996</v>
      </c>
      <c r="B71" s="7" t="s">
        <v>424</v>
      </c>
      <c r="C71" s="29">
        <v>-231076</v>
      </c>
      <c r="D71" s="11">
        <v>-60678.67</v>
      </c>
      <c r="E71" s="9">
        <v>0</v>
      </c>
      <c r="F71" s="11">
        <v>-139226.23999999999</v>
      </c>
      <c r="G71" s="9">
        <v>-91849.76</v>
      </c>
      <c r="H71" s="11">
        <v>60.25</v>
      </c>
      <c r="I71" s="70">
        <v>-47376.480000000003</v>
      </c>
      <c r="J71" s="11">
        <f t="shared" si="23"/>
        <v>-278452.47999999998</v>
      </c>
      <c r="K71" s="9">
        <f t="shared" si="24"/>
        <v>-295159.62880000001</v>
      </c>
      <c r="L71" s="11">
        <f t="shared" si="25"/>
        <v>-324675.59168000001</v>
      </c>
    </row>
    <row r="72" spans="1:12" s="1" customFormat="1" ht="14.25" x14ac:dyDescent="0.2">
      <c r="A72" s="5"/>
      <c r="B72" s="7"/>
      <c r="C72" s="29"/>
      <c r="D72" s="11"/>
      <c r="E72" s="9"/>
      <c r="F72" s="11"/>
      <c r="G72" s="9"/>
      <c r="H72" s="11"/>
      <c r="I72" s="70"/>
      <c r="J72" s="11"/>
      <c r="K72" s="9"/>
      <c r="L72" s="11"/>
    </row>
    <row r="73" spans="1:12" s="3" customFormat="1" x14ac:dyDescent="0.25">
      <c r="A73" s="18"/>
      <c r="B73" s="19" t="s">
        <v>426</v>
      </c>
      <c r="C73" s="28">
        <f>SUM(C70:C72)</f>
        <v>-1369408</v>
      </c>
      <c r="D73" s="36">
        <f t="shared" ref="D73:G73" si="26">SUM(D70:D72)</f>
        <v>-427044.3</v>
      </c>
      <c r="E73" s="28">
        <f t="shared" si="26"/>
        <v>0</v>
      </c>
      <c r="F73" s="36">
        <f t="shared" si="26"/>
        <v>-1041426.16</v>
      </c>
      <c r="G73" s="28">
        <f t="shared" si="26"/>
        <v>-327981.83999999997</v>
      </c>
      <c r="H73" s="21">
        <v>76.040000000000006</v>
      </c>
      <c r="I73" s="71">
        <f t="shared" ref="I73:L73" si="27">SUM(I70:I72)</f>
        <v>-713444.32</v>
      </c>
      <c r="J73" s="36">
        <f t="shared" si="27"/>
        <v>-2082852.3199999998</v>
      </c>
      <c r="K73" s="28">
        <f t="shared" si="27"/>
        <v>-2207823.4591999999</v>
      </c>
      <c r="L73" s="36">
        <f t="shared" si="27"/>
        <v>-2428605.8051200002</v>
      </c>
    </row>
    <row r="74" spans="1:12" s="1" customFormat="1" ht="14.25" x14ac:dyDescent="0.2">
      <c r="A74" s="5"/>
      <c r="B74" s="7"/>
      <c r="C74" s="29"/>
      <c r="D74" s="11"/>
      <c r="E74" s="9"/>
      <c r="F74" s="11"/>
      <c r="G74" s="9"/>
      <c r="H74" s="11"/>
      <c r="I74" s="70"/>
      <c r="J74" s="11"/>
      <c r="K74" s="9"/>
      <c r="L74" s="11"/>
    </row>
    <row r="75" spans="1:12" s="3" customFormat="1" x14ac:dyDescent="0.25">
      <c r="A75" s="18"/>
      <c r="B75" s="19" t="s">
        <v>427</v>
      </c>
      <c r="C75" s="28">
        <f>C66+C73</f>
        <v>-2869408</v>
      </c>
      <c r="D75" s="28">
        <f t="shared" ref="D75:I75" si="28">D66+D73</f>
        <v>-427044.3</v>
      </c>
      <c r="E75" s="28">
        <f t="shared" si="28"/>
        <v>0</v>
      </c>
      <c r="F75" s="28">
        <f t="shared" si="28"/>
        <v>-1041426.16</v>
      </c>
      <c r="G75" s="28">
        <f t="shared" si="28"/>
        <v>-1827981.8399999999</v>
      </c>
      <c r="H75" s="21">
        <v>36.29</v>
      </c>
      <c r="I75" s="28">
        <f t="shared" si="28"/>
        <v>-713444.32</v>
      </c>
      <c r="J75" s="36">
        <f>J66+J73</f>
        <v>-3582852.32</v>
      </c>
      <c r="K75" s="36">
        <f t="shared" ref="K75:L75" si="29">K66+K73</f>
        <v>-3707823.4591999999</v>
      </c>
      <c r="L75" s="36">
        <f t="shared" si="29"/>
        <v>-3928605.8051200002</v>
      </c>
    </row>
    <row r="76" spans="1:12" s="1" customFormat="1" x14ac:dyDescent="0.25">
      <c r="A76" s="5"/>
      <c r="B76" s="7"/>
      <c r="C76" s="29"/>
      <c r="D76" s="11"/>
      <c r="E76" s="9"/>
      <c r="F76" s="11"/>
      <c r="G76" s="9"/>
      <c r="H76" s="11"/>
      <c r="I76" s="70"/>
      <c r="J76" s="36">
        <f t="shared" ref="J76:L76" si="30">J74</f>
        <v>0</v>
      </c>
      <c r="K76" s="28">
        <f t="shared" si="30"/>
        <v>0</v>
      </c>
      <c r="L76" s="36">
        <f t="shared" si="30"/>
        <v>0</v>
      </c>
    </row>
    <row r="77" spans="1:12" s="3" customFormat="1" x14ac:dyDescent="0.25">
      <c r="A77" s="18"/>
      <c r="B77" s="19" t="s">
        <v>428</v>
      </c>
      <c r="C77" s="28">
        <f>C75</f>
        <v>-2869408</v>
      </c>
      <c r="D77" s="36">
        <f t="shared" ref="D77:G77" si="31">D75</f>
        <v>-427044.3</v>
      </c>
      <c r="E77" s="28">
        <f t="shared" si="31"/>
        <v>0</v>
      </c>
      <c r="F77" s="36">
        <f t="shared" si="31"/>
        <v>-1041426.16</v>
      </c>
      <c r="G77" s="28">
        <f t="shared" si="31"/>
        <v>-1827981.8399999999</v>
      </c>
      <c r="H77" s="21">
        <v>36.29</v>
      </c>
      <c r="I77" s="71">
        <f t="shared" ref="I77:L79" si="32">I75</f>
        <v>-713444.32</v>
      </c>
      <c r="J77" s="36">
        <f t="shared" si="32"/>
        <v>-3582852.32</v>
      </c>
      <c r="K77" s="36">
        <f t="shared" si="32"/>
        <v>-3707823.4591999999</v>
      </c>
      <c r="L77" s="36">
        <f t="shared" si="32"/>
        <v>-3928605.8051200002</v>
      </c>
    </row>
    <row r="78" spans="1:12" s="3" customFormat="1" x14ac:dyDescent="0.25">
      <c r="A78" s="18"/>
      <c r="B78" s="19"/>
      <c r="C78" s="28"/>
      <c r="D78" s="21"/>
      <c r="E78" s="20"/>
      <c r="F78" s="21"/>
      <c r="G78" s="20"/>
      <c r="H78" s="21"/>
      <c r="I78" s="69"/>
      <c r="J78" s="36">
        <f t="shared" si="32"/>
        <v>0</v>
      </c>
      <c r="K78" s="28">
        <f t="shared" si="32"/>
        <v>0</v>
      </c>
      <c r="L78" s="36">
        <f t="shared" si="32"/>
        <v>0</v>
      </c>
    </row>
    <row r="79" spans="1:12" s="3" customFormat="1" x14ac:dyDescent="0.25">
      <c r="A79" s="18"/>
      <c r="B79" s="19" t="s">
        <v>429</v>
      </c>
      <c r="C79" s="28">
        <f>C77</f>
        <v>-2869408</v>
      </c>
      <c r="D79" s="36">
        <f t="shared" ref="D79:G79" si="33">D77</f>
        <v>-427044.3</v>
      </c>
      <c r="E79" s="28">
        <f t="shared" si="33"/>
        <v>0</v>
      </c>
      <c r="F79" s="36">
        <f t="shared" si="33"/>
        <v>-1041426.16</v>
      </c>
      <c r="G79" s="28">
        <f t="shared" si="33"/>
        <v>-1827981.8399999999</v>
      </c>
      <c r="H79" s="21">
        <v>36.29</v>
      </c>
      <c r="I79" s="69">
        <f>I77</f>
        <v>-713444.32</v>
      </c>
      <c r="J79" s="36">
        <f t="shared" si="32"/>
        <v>-3582852.32</v>
      </c>
      <c r="K79" s="28">
        <f t="shared" si="32"/>
        <v>-3707823.4591999999</v>
      </c>
      <c r="L79" s="36">
        <f t="shared" si="32"/>
        <v>-3928605.8051200002</v>
      </c>
    </row>
    <row r="80" spans="1:12" s="3" customFormat="1" x14ac:dyDescent="0.25">
      <c r="A80" s="18"/>
      <c r="B80" s="19"/>
      <c r="C80" s="28"/>
      <c r="D80" s="21"/>
      <c r="E80" s="20"/>
      <c r="F80" s="21"/>
      <c r="G80" s="20"/>
      <c r="H80" s="21"/>
      <c r="I80" s="69"/>
      <c r="J80" s="21"/>
      <c r="K80" s="20"/>
      <c r="L80" s="21"/>
    </row>
    <row r="81" spans="1:12" s="3" customFormat="1" x14ac:dyDescent="0.25">
      <c r="A81" s="18"/>
      <c r="B81" s="19" t="s">
        <v>430</v>
      </c>
      <c r="C81" s="28"/>
      <c r="D81" s="21"/>
      <c r="E81" s="20"/>
      <c r="F81" s="21"/>
      <c r="G81" s="20"/>
      <c r="H81" s="21"/>
      <c r="I81" s="69"/>
      <c r="J81" s="21"/>
      <c r="K81" s="20"/>
      <c r="L81" s="21"/>
    </row>
    <row r="82" spans="1:12" s="3" customFormat="1" x14ac:dyDescent="0.25">
      <c r="A82" s="18"/>
      <c r="B82" s="19"/>
      <c r="C82" s="28"/>
      <c r="D82" s="21"/>
      <c r="E82" s="20"/>
      <c r="F82" s="21"/>
      <c r="G82" s="20"/>
      <c r="H82" s="21"/>
      <c r="I82" s="69"/>
      <c r="J82" s="21"/>
      <c r="K82" s="20"/>
      <c r="L82" s="21"/>
    </row>
    <row r="83" spans="1:12" s="3" customFormat="1" x14ac:dyDescent="0.25">
      <c r="A83" s="18"/>
      <c r="B83" s="19" t="s">
        <v>431</v>
      </c>
      <c r="C83" s="28"/>
      <c r="D83" s="21"/>
      <c r="E83" s="20"/>
      <c r="F83" s="21"/>
      <c r="G83" s="20"/>
      <c r="H83" s="21"/>
      <c r="I83" s="69"/>
      <c r="J83" s="21"/>
      <c r="K83" s="20"/>
      <c r="L83" s="21"/>
    </row>
    <row r="84" spans="1:12" s="3" customFormat="1" x14ac:dyDescent="0.25">
      <c r="A84" s="18"/>
      <c r="B84" s="19"/>
      <c r="C84" s="28"/>
      <c r="D84" s="21"/>
      <c r="E84" s="20"/>
      <c r="F84" s="21"/>
      <c r="G84" s="20"/>
      <c r="H84" s="21"/>
      <c r="I84" s="69"/>
      <c r="J84" s="21"/>
      <c r="K84" s="20"/>
      <c r="L84" s="21"/>
    </row>
    <row r="85" spans="1:12" s="1" customFormat="1" ht="14.25" x14ac:dyDescent="0.2">
      <c r="A85" s="5" t="s">
        <v>997</v>
      </c>
      <c r="B85" s="7" t="s">
        <v>433</v>
      </c>
      <c r="C85" s="29">
        <f>C57</f>
        <v>7703065</v>
      </c>
      <c r="D85" s="37">
        <f t="shared" ref="D85:G85" si="34">D57</f>
        <v>463982.07999999996</v>
      </c>
      <c r="E85" s="29">
        <f t="shared" si="34"/>
        <v>12049.71</v>
      </c>
      <c r="F85" s="37">
        <f t="shared" si="34"/>
        <v>2757139.3100000005</v>
      </c>
      <c r="G85" s="29">
        <f t="shared" si="34"/>
        <v>4945925.6899999995</v>
      </c>
      <c r="H85" s="11">
        <v>35.79</v>
      </c>
      <c r="I85" s="70">
        <f>I57</f>
        <v>60000</v>
      </c>
      <c r="J85" s="11">
        <f t="shared" ref="J85:J86" si="35">C85+I85</f>
        <v>7763065</v>
      </c>
      <c r="K85" s="29">
        <f t="shared" ref="K85:L85" si="36">K57</f>
        <v>8122948.8999999994</v>
      </c>
      <c r="L85" s="29">
        <f t="shared" si="36"/>
        <v>8785243.790000001</v>
      </c>
    </row>
    <row r="86" spans="1:12" s="1" customFormat="1" ht="14.25" x14ac:dyDescent="0.2">
      <c r="A86" s="5" t="s">
        <v>998</v>
      </c>
      <c r="B86" s="7" t="s">
        <v>429</v>
      </c>
      <c r="C86" s="29">
        <f>C79</f>
        <v>-2869408</v>
      </c>
      <c r="D86" s="37">
        <f t="shared" ref="D86:G86" si="37">D79</f>
        <v>-427044.3</v>
      </c>
      <c r="E86" s="29">
        <f t="shared" si="37"/>
        <v>0</v>
      </c>
      <c r="F86" s="37">
        <f t="shared" si="37"/>
        <v>-1041426.16</v>
      </c>
      <c r="G86" s="29">
        <f t="shared" si="37"/>
        <v>-1827981.8399999999</v>
      </c>
      <c r="H86" s="11">
        <v>36.29</v>
      </c>
      <c r="I86" s="70">
        <f>I79</f>
        <v>-713444.32</v>
      </c>
      <c r="J86" s="11">
        <f t="shared" si="35"/>
        <v>-3582852.32</v>
      </c>
      <c r="K86" s="29">
        <f t="shared" ref="K86:L86" si="38">K79</f>
        <v>-3707823.4591999999</v>
      </c>
      <c r="L86" s="29">
        <f t="shared" si="38"/>
        <v>-3928605.8051200002</v>
      </c>
    </row>
    <row r="87" spans="1:12" s="1" customFormat="1" ht="14.25" x14ac:dyDescent="0.2">
      <c r="A87" s="5"/>
      <c r="B87" s="7"/>
      <c r="C87" s="29"/>
      <c r="D87" s="11"/>
      <c r="E87" s="9"/>
      <c r="F87" s="11"/>
      <c r="G87" s="9"/>
      <c r="H87" s="11"/>
      <c r="I87" s="70"/>
      <c r="J87" s="11"/>
      <c r="K87" s="9"/>
      <c r="L87" s="11"/>
    </row>
    <row r="88" spans="1:12" s="3" customFormat="1" x14ac:dyDescent="0.25">
      <c r="A88" s="18"/>
      <c r="B88" s="19" t="s">
        <v>435</v>
      </c>
      <c r="C88" s="28">
        <f>C85+C86</f>
        <v>4833657</v>
      </c>
      <c r="D88" s="36">
        <f t="shared" ref="D88:L88" si="39">D85+D86</f>
        <v>36937.77999999997</v>
      </c>
      <c r="E88" s="28">
        <f t="shared" si="39"/>
        <v>12049.71</v>
      </c>
      <c r="F88" s="36">
        <f t="shared" si="39"/>
        <v>1715713.1500000004</v>
      </c>
      <c r="G88" s="28">
        <f t="shared" si="39"/>
        <v>3117943.8499999996</v>
      </c>
      <c r="H88" s="21">
        <v>35.49</v>
      </c>
      <c r="I88" s="71">
        <f>I85+I86</f>
        <v>-653444.31999999995</v>
      </c>
      <c r="J88" s="36">
        <f t="shared" si="39"/>
        <v>4180212.68</v>
      </c>
      <c r="K88" s="28">
        <f t="shared" si="39"/>
        <v>4415125.4408</v>
      </c>
      <c r="L88" s="36">
        <f t="shared" si="39"/>
        <v>4856637.9848800004</v>
      </c>
    </row>
    <row r="89" spans="1:12" s="3" customFormat="1" x14ac:dyDescent="0.25">
      <c r="A89" s="18"/>
      <c r="B89" s="19"/>
      <c r="C89" s="28"/>
      <c r="D89" s="21"/>
      <c r="E89" s="20"/>
      <c r="F89" s="21"/>
      <c r="G89" s="20"/>
      <c r="H89" s="21"/>
      <c r="I89" s="69"/>
      <c r="J89" s="21"/>
      <c r="K89" s="20"/>
      <c r="L89" s="21"/>
    </row>
    <row r="90" spans="1:12" s="3" customFormat="1" x14ac:dyDescent="0.25">
      <c r="A90" s="18"/>
      <c r="B90" s="19" t="s">
        <v>436</v>
      </c>
      <c r="C90" s="28">
        <f>C88</f>
        <v>4833657</v>
      </c>
      <c r="D90" s="36">
        <f t="shared" ref="D90:G90" si="40">D88</f>
        <v>36937.77999999997</v>
      </c>
      <c r="E90" s="28">
        <f t="shared" si="40"/>
        <v>12049.71</v>
      </c>
      <c r="F90" s="36">
        <f t="shared" si="40"/>
        <v>1715713.1500000004</v>
      </c>
      <c r="G90" s="28">
        <f t="shared" si="40"/>
        <v>3117943.8499999996</v>
      </c>
      <c r="H90" s="21">
        <v>35.49</v>
      </c>
      <c r="I90" s="71">
        <f t="shared" ref="I90:L90" si="41">I88</f>
        <v>-653444.31999999995</v>
      </c>
      <c r="J90" s="36">
        <f t="shared" si="41"/>
        <v>4180212.68</v>
      </c>
      <c r="K90" s="28">
        <f t="shared" si="41"/>
        <v>4415125.4408</v>
      </c>
      <c r="L90" s="36">
        <f t="shared" si="41"/>
        <v>4856637.9848800004</v>
      </c>
    </row>
    <row r="91" spans="1:12" s="1" customFormat="1" thickBot="1" x14ac:dyDescent="0.25">
      <c r="A91" s="6"/>
      <c r="B91" s="8"/>
      <c r="C91" s="30"/>
      <c r="D91" s="12"/>
      <c r="E91" s="10"/>
      <c r="F91" s="12"/>
      <c r="G91" s="10"/>
      <c r="H91" s="12"/>
      <c r="I91" s="74"/>
      <c r="J91" s="12"/>
      <c r="K91" s="10"/>
      <c r="L91" s="12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D15" sqref="D15"/>
    </sheetView>
  </sheetViews>
  <sheetFormatPr defaultRowHeight="15" x14ac:dyDescent="0.2"/>
  <cols>
    <col min="1" max="1" width="79" style="90" customWidth="1"/>
    <col min="2" max="16384" width="9.140625" style="90"/>
  </cols>
  <sheetData>
    <row r="1" spans="1:1" s="89" customFormat="1" ht="15.75" x14ac:dyDescent="0.25">
      <c r="A1" s="89" t="s">
        <v>1015</v>
      </c>
    </row>
    <row r="2" spans="1:1" ht="15.75" thickBot="1" x14ac:dyDescent="0.25"/>
    <row r="3" spans="1:1" x14ac:dyDescent="0.2">
      <c r="A3" s="91" t="s">
        <v>1016</v>
      </c>
    </row>
    <row r="4" spans="1:1" x14ac:dyDescent="0.2">
      <c r="A4" s="92"/>
    </row>
    <row r="5" spans="1:1" x14ac:dyDescent="0.2">
      <c r="A5" s="92" t="s">
        <v>1017</v>
      </c>
    </row>
    <row r="6" spans="1:1" x14ac:dyDescent="0.2">
      <c r="A6" s="92"/>
    </row>
    <row r="7" spans="1:1" x14ac:dyDescent="0.2">
      <c r="A7" s="92" t="s">
        <v>1106</v>
      </c>
    </row>
    <row r="8" spans="1:1" x14ac:dyDescent="0.2">
      <c r="A8" s="92"/>
    </row>
    <row r="9" spans="1:1" x14ac:dyDescent="0.2">
      <c r="A9" s="92" t="s">
        <v>1018</v>
      </c>
    </row>
    <row r="10" spans="1:1" x14ac:dyDescent="0.2">
      <c r="A10" s="92"/>
    </row>
    <row r="11" spans="1:1" x14ac:dyDescent="0.2">
      <c r="A11" s="310"/>
    </row>
    <row r="12" spans="1:1" x14ac:dyDescent="0.2">
      <c r="A12" s="92"/>
    </row>
    <row r="13" spans="1:1" x14ac:dyDescent="0.2">
      <c r="A13" s="92"/>
    </row>
    <row r="14" spans="1:1" x14ac:dyDescent="0.2">
      <c r="A14" s="92"/>
    </row>
    <row r="15" spans="1:1" x14ac:dyDescent="0.2">
      <c r="A15" s="92"/>
    </row>
    <row r="16" spans="1:1" x14ac:dyDescent="0.2">
      <c r="A16" s="92"/>
    </row>
    <row r="17" spans="1:1" x14ac:dyDescent="0.2">
      <c r="A17" s="92"/>
    </row>
    <row r="18" spans="1:1" x14ac:dyDescent="0.2">
      <c r="A18" s="92"/>
    </row>
    <row r="19" spans="1:1" x14ac:dyDescent="0.2">
      <c r="A19" s="92"/>
    </row>
    <row r="20" spans="1:1" x14ac:dyDescent="0.2">
      <c r="A20" s="92"/>
    </row>
    <row r="21" spans="1:1" x14ac:dyDescent="0.2">
      <c r="A21" s="92"/>
    </row>
    <row r="22" spans="1:1" ht="15.75" thickBot="1" x14ac:dyDescent="0.25">
      <c r="A22" s="9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D18" sqref="D18"/>
    </sheetView>
  </sheetViews>
  <sheetFormatPr defaultColWidth="9" defaultRowHeight="15" x14ac:dyDescent="0.2"/>
  <cols>
    <col min="1" max="1" width="30.5703125" style="90" customWidth="1"/>
    <col min="2" max="2" width="21.140625" style="107" customWidth="1"/>
    <col min="3" max="3" width="6.7109375" style="107" customWidth="1"/>
    <col min="4" max="4" width="20.42578125" style="90" customWidth="1"/>
    <col min="5" max="5" width="6.85546875" style="90" customWidth="1"/>
    <col min="6" max="6" width="16.7109375" style="186" customWidth="1"/>
    <col min="7" max="7" width="6.85546875" style="186" customWidth="1"/>
    <col min="8" max="8" width="16" style="90" customWidth="1"/>
    <col min="9" max="9" width="6.42578125" style="186" customWidth="1"/>
    <col min="10" max="16384" width="9" style="90"/>
  </cols>
  <sheetData>
    <row r="1" spans="1:9" s="89" customFormat="1" ht="15.75" x14ac:dyDescent="0.25">
      <c r="A1" s="89" t="s">
        <v>1017</v>
      </c>
      <c r="B1" s="94"/>
      <c r="C1" s="94"/>
      <c r="F1" s="180"/>
      <c r="G1" s="180"/>
      <c r="I1" s="180"/>
    </row>
    <row r="2" spans="1:9" s="89" customFormat="1" ht="16.5" thickBot="1" x14ac:dyDescent="0.3">
      <c r="B2" s="94"/>
      <c r="C2" s="94"/>
      <c r="F2" s="180"/>
      <c r="G2" s="180"/>
      <c r="I2" s="180"/>
    </row>
    <row r="3" spans="1:9" s="89" customFormat="1" ht="48" thickBot="1" x14ac:dyDescent="0.3">
      <c r="A3" s="95"/>
      <c r="B3" s="97" t="s">
        <v>1056</v>
      </c>
      <c r="C3" s="98"/>
      <c r="D3" s="99" t="s">
        <v>1058</v>
      </c>
      <c r="E3" s="118"/>
      <c r="F3" s="249" t="s">
        <v>1057</v>
      </c>
      <c r="G3" s="181"/>
      <c r="H3" s="125" t="s">
        <v>1059</v>
      </c>
      <c r="I3" s="187"/>
    </row>
    <row r="4" spans="1:9" s="89" customFormat="1" ht="15.75" x14ac:dyDescent="0.25">
      <c r="A4" s="95"/>
      <c r="B4" s="100" t="s">
        <v>1019</v>
      </c>
      <c r="C4" s="96" t="s">
        <v>1020</v>
      </c>
      <c r="D4" s="100" t="s">
        <v>1019</v>
      </c>
      <c r="E4" s="119" t="s">
        <v>1020</v>
      </c>
      <c r="F4" s="250"/>
      <c r="G4" s="182"/>
      <c r="H4" s="126"/>
      <c r="I4" s="188"/>
    </row>
    <row r="5" spans="1:9" x14ac:dyDescent="0.2">
      <c r="A5" s="92"/>
      <c r="B5" s="101"/>
      <c r="C5" s="101"/>
      <c r="D5" s="92"/>
      <c r="E5" s="120"/>
      <c r="F5" s="131"/>
      <c r="G5" s="183"/>
      <c r="H5" s="127"/>
      <c r="I5" s="183"/>
    </row>
    <row r="6" spans="1:9" x14ac:dyDescent="0.2">
      <c r="A6" s="92" t="s">
        <v>1021</v>
      </c>
      <c r="B6" s="101">
        <f>'All Departments'!C209</f>
        <v>133114557</v>
      </c>
      <c r="C6" s="101">
        <f>B6/B10*100</f>
        <v>72.983190420990027</v>
      </c>
      <c r="D6" s="102">
        <f>'All Departments'!J209</f>
        <v>144260633.47999999</v>
      </c>
      <c r="E6" s="121">
        <f>D6/D10*100</f>
        <v>73.770952910829124</v>
      </c>
      <c r="F6" s="251">
        <f>'All Departments'!K209</f>
        <v>146077181.9488</v>
      </c>
      <c r="G6" s="183">
        <f>F6/F10*100</f>
        <v>73.110117545515678</v>
      </c>
      <c r="H6" s="128">
        <f>'All Departments'!L209</f>
        <v>156895930.82172802</v>
      </c>
      <c r="I6" s="183">
        <f>H6/H10*100</f>
        <v>77.423963493981745</v>
      </c>
    </row>
    <row r="7" spans="1:9" x14ac:dyDescent="0.2">
      <c r="A7" s="92"/>
      <c r="B7" s="101"/>
      <c r="C7" s="101"/>
      <c r="D7" s="92"/>
      <c r="E7" s="120"/>
      <c r="F7" s="131"/>
      <c r="G7" s="183"/>
      <c r="H7" s="127"/>
      <c r="I7" s="183"/>
    </row>
    <row r="8" spans="1:9" x14ac:dyDescent="0.2">
      <c r="A8" s="92" t="s">
        <v>1022</v>
      </c>
      <c r="B8" s="101">
        <f>'All Departments'!C363</f>
        <v>49276150</v>
      </c>
      <c r="C8" s="101">
        <f>B8/B10*100</f>
        <v>27.016809579009966</v>
      </c>
      <c r="D8" s="101">
        <f>'All Departments'!J363</f>
        <v>51291447.370000005</v>
      </c>
      <c r="E8" s="122">
        <f>D8/D10*100</f>
        <v>26.229047089170876</v>
      </c>
      <c r="F8" s="131">
        <f>'All Departments'!K363</f>
        <v>53727150</v>
      </c>
      <c r="G8" s="183">
        <f>F8/F10*100</f>
        <v>26.889882454484333</v>
      </c>
      <c r="H8" s="128">
        <f>'All Departments'!L363</f>
        <v>45749250</v>
      </c>
      <c r="I8" s="183">
        <f>H8/H10*100</f>
        <v>22.576036506018244</v>
      </c>
    </row>
    <row r="9" spans="1:9" x14ac:dyDescent="0.2">
      <c r="A9" s="92"/>
      <c r="B9" s="101"/>
      <c r="C9" s="101"/>
      <c r="D9" s="92"/>
      <c r="E9" s="120"/>
      <c r="F9" s="131"/>
      <c r="G9" s="183"/>
      <c r="H9" s="127"/>
      <c r="I9" s="183"/>
    </row>
    <row r="10" spans="1:9" s="89" customFormat="1" ht="15.75" x14ac:dyDescent="0.25">
      <c r="A10" s="103" t="s">
        <v>1023</v>
      </c>
      <c r="B10" s="104">
        <f>B6+B8</f>
        <v>182390707</v>
      </c>
      <c r="C10" s="104">
        <f>B10/B10*100</f>
        <v>100</v>
      </c>
      <c r="D10" s="104">
        <f>D6+D8</f>
        <v>195552080.84999999</v>
      </c>
      <c r="E10" s="123">
        <f>D10/D10*100</f>
        <v>100</v>
      </c>
      <c r="F10" s="133">
        <f>F6+F8</f>
        <v>199804331.9488</v>
      </c>
      <c r="G10" s="184">
        <f>F10/F10*100</f>
        <v>100</v>
      </c>
      <c r="H10" s="132">
        <f>H6+H8</f>
        <v>202645180.82172802</v>
      </c>
      <c r="I10" s="183">
        <f>H10/H10*100</f>
        <v>100</v>
      </c>
    </row>
    <row r="11" spans="1:9" x14ac:dyDescent="0.2">
      <c r="A11" s="92"/>
      <c r="B11" s="101"/>
      <c r="C11" s="101"/>
      <c r="D11" s="92"/>
      <c r="E11" s="120"/>
      <c r="F11" s="131"/>
      <c r="G11" s="183"/>
      <c r="H11" s="127"/>
      <c r="I11" s="183"/>
    </row>
    <row r="12" spans="1:9" s="89" customFormat="1" ht="15.75" x14ac:dyDescent="0.25">
      <c r="A12" s="103" t="s">
        <v>1024</v>
      </c>
      <c r="B12" s="104">
        <f>'All Departments'!C292</f>
        <v>-182667005</v>
      </c>
      <c r="C12" s="104"/>
      <c r="D12" s="104">
        <f>'All Departments'!J292</f>
        <v>-195782628.95000002</v>
      </c>
      <c r="E12" s="123"/>
      <c r="F12" s="104">
        <f>'All Departments'!K292</f>
        <v>-199913387.70700002</v>
      </c>
      <c r="G12" s="184"/>
      <c r="H12" s="104">
        <f>'All Departments'!L292</f>
        <v>-202729365.90778801</v>
      </c>
      <c r="I12" s="183"/>
    </row>
    <row r="13" spans="1:9" s="89" customFormat="1" ht="15.75" x14ac:dyDescent="0.25">
      <c r="A13" s="103"/>
      <c r="B13" s="104"/>
      <c r="C13" s="104"/>
      <c r="D13" s="103"/>
      <c r="E13" s="123"/>
      <c r="F13" s="133"/>
      <c r="G13" s="184"/>
      <c r="H13" s="129"/>
      <c r="I13" s="183"/>
    </row>
    <row r="14" spans="1:9" s="89" customFormat="1" ht="15.75" x14ac:dyDescent="0.25">
      <c r="A14" s="103" t="s">
        <v>1025</v>
      </c>
      <c r="B14" s="105">
        <f>B10+B12</f>
        <v>-276298</v>
      </c>
      <c r="C14" s="104"/>
      <c r="D14" s="105">
        <f>D10+D12</f>
        <v>-230548.10000002384</v>
      </c>
      <c r="E14" s="123"/>
      <c r="F14" s="105">
        <f>F10+F12</f>
        <v>-109055.7582000196</v>
      </c>
      <c r="G14" s="184"/>
      <c r="H14" s="105">
        <f>H10+H12</f>
        <v>-84185.086059987545</v>
      </c>
      <c r="I14" s="183"/>
    </row>
    <row r="15" spans="1:9" ht="15.75" thickBot="1" x14ac:dyDescent="0.25">
      <c r="A15" s="93"/>
      <c r="B15" s="106"/>
      <c r="C15" s="106"/>
      <c r="D15" s="93"/>
      <c r="E15" s="124"/>
      <c r="F15" s="252"/>
      <c r="G15" s="185"/>
      <c r="H15" s="130"/>
      <c r="I15" s="185"/>
    </row>
    <row r="17" spans="2:5" x14ac:dyDescent="0.2">
      <c r="D17" s="107"/>
    </row>
    <row r="18" spans="2:5" x14ac:dyDescent="0.2">
      <c r="B18" s="108"/>
      <c r="D18" s="107"/>
    </row>
    <row r="19" spans="2:5" x14ac:dyDescent="0.2">
      <c r="D19" s="107"/>
    </row>
    <row r="20" spans="2:5" x14ac:dyDescent="0.2">
      <c r="D20" s="107"/>
      <c r="E20" s="107"/>
    </row>
  </sheetData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" zoomScaleNormal="100" workbookViewId="0">
      <selection activeCell="D35" sqref="D35"/>
    </sheetView>
  </sheetViews>
  <sheetFormatPr defaultRowHeight="14.25" x14ac:dyDescent="0.2"/>
  <cols>
    <col min="1" max="1" width="59.28515625" style="1" customWidth="1"/>
    <col min="2" max="2" width="14.5703125" style="1" customWidth="1"/>
    <col min="3" max="5" width="15.28515625" style="1" customWidth="1"/>
    <col min="6" max="6" width="15.140625" style="1" customWidth="1"/>
    <col min="7" max="7" width="10.28515625" style="1" customWidth="1"/>
    <col min="8" max="8" width="14.5703125" style="1" customWidth="1"/>
    <col min="9" max="9" width="15" style="1" customWidth="1"/>
    <col min="10" max="258" width="9.140625" style="1"/>
    <col min="259" max="259" width="59.28515625" style="1" customWidth="1"/>
    <col min="260" max="260" width="16.7109375" style="1" customWidth="1"/>
    <col min="261" max="261" width="15.28515625" style="1" customWidth="1"/>
    <col min="262" max="262" width="15.140625" style="1" customWidth="1"/>
    <col min="263" max="263" width="10.28515625" style="1" customWidth="1"/>
    <col min="264" max="264" width="14.5703125" style="1" customWidth="1"/>
    <col min="265" max="265" width="15" style="1" customWidth="1"/>
    <col min="266" max="514" width="9.140625" style="1"/>
    <col min="515" max="515" width="59.28515625" style="1" customWidth="1"/>
    <col min="516" max="516" width="16.7109375" style="1" customWidth="1"/>
    <col min="517" max="517" width="15.28515625" style="1" customWidth="1"/>
    <col min="518" max="518" width="15.140625" style="1" customWidth="1"/>
    <col min="519" max="519" width="10.28515625" style="1" customWidth="1"/>
    <col min="520" max="520" width="14.5703125" style="1" customWidth="1"/>
    <col min="521" max="521" width="15" style="1" customWidth="1"/>
    <col min="522" max="770" width="9.140625" style="1"/>
    <col min="771" max="771" width="59.28515625" style="1" customWidth="1"/>
    <col min="772" max="772" width="16.7109375" style="1" customWidth="1"/>
    <col min="773" max="773" width="15.28515625" style="1" customWidth="1"/>
    <col min="774" max="774" width="15.140625" style="1" customWidth="1"/>
    <col min="775" max="775" width="10.28515625" style="1" customWidth="1"/>
    <col min="776" max="776" width="14.5703125" style="1" customWidth="1"/>
    <col min="777" max="777" width="15" style="1" customWidth="1"/>
    <col min="778" max="1026" width="9.140625" style="1"/>
    <col min="1027" max="1027" width="59.28515625" style="1" customWidth="1"/>
    <col min="1028" max="1028" width="16.7109375" style="1" customWidth="1"/>
    <col min="1029" max="1029" width="15.28515625" style="1" customWidth="1"/>
    <col min="1030" max="1030" width="15.140625" style="1" customWidth="1"/>
    <col min="1031" max="1031" width="10.28515625" style="1" customWidth="1"/>
    <col min="1032" max="1032" width="14.5703125" style="1" customWidth="1"/>
    <col min="1033" max="1033" width="15" style="1" customWidth="1"/>
    <col min="1034" max="1282" width="9.140625" style="1"/>
    <col min="1283" max="1283" width="59.28515625" style="1" customWidth="1"/>
    <col min="1284" max="1284" width="16.7109375" style="1" customWidth="1"/>
    <col min="1285" max="1285" width="15.28515625" style="1" customWidth="1"/>
    <col min="1286" max="1286" width="15.140625" style="1" customWidth="1"/>
    <col min="1287" max="1287" width="10.28515625" style="1" customWidth="1"/>
    <col min="1288" max="1288" width="14.5703125" style="1" customWidth="1"/>
    <col min="1289" max="1289" width="15" style="1" customWidth="1"/>
    <col min="1290" max="1538" width="9.140625" style="1"/>
    <col min="1539" max="1539" width="59.28515625" style="1" customWidth="1"/>
    <col min="1540" max="1540" width="16.7109375" style="1" customWidth="1"/>
    <col min="1541" max="1541" width="15.28515625" style="1" customWidth="1"/>
    <col min="1542" max="1542" width="15.140625" style="1" customWidth="1"/>
    <col min="1543" max="1543" width="10.28515625" style="1" customWidth="1"/>
    <col min="1544" max="1544" width="14.5703125" style="1" customWidth="1"/>
    <col min="1545" max="1545" width="15" style="1" customWidth="1"/>
    <col min="1546" max="1794" width="9.140625" style="1"/>
    <col min="1795" max="1795" width="59.28515625" style="1" customWidth="1"/>
    <col min="1796" max="1796" width="16.7109375" style="1" customWidth="1"/>
    <col min="1797" max="1797" width="15.28515625" style="1" customWidth="1"/>
    <col min="1798" max="1798" width="15.140625" style="1" customWidth="1"/>
    <col min="1799" max="1799" width="10.28515625" style="1" customWidth="1"/>
    <col min="1800" max="1800" width="14.5703125" style="1" customWidth="1"/>
    <col min="1801" max="1801" width="15" style="1" customWidth="1"/>
    <col min="1802" max="2050" width="9.140625" style="1"/>
    <col min="2051" max="2051" width="59.28515625" style="1" customWidth="1"/>
    <col min="2052" max="2052" width="16.7109375" style="1" customWidth="1"/>
    <col min="2053" max="2053" width="15.28515625" style="1" customWidth="1"/>
    <col min="2054" max="2054" width="15.140625" style="1" customWidth="1"/>
    <col min="2055" max="2055" width="10.28515625" style="1" customWidth="1"/>
    <col min="2056" max="2056" width="14.5703125" style="1" customWidth="1"/>
    <col min="2057" max="2057" width="15" style="1" customWidth="1"/>
    <col min="2058" max="2306" width="9.140625" style="1"/>
    <col min="2307" max="2307" width="59.28515625" style="1" customWidth="1"/>
    <col min="2308" max="2308" width="16.7109375" style="1" customWidth="1"/>
    <col min="2309" max="2309" width="15.28515625" style="1" customWidth="1"/>
    <col min="2310" max="2310" width="15.140625" style="1" customWidth="1"/>
    <col min="2311" max="2311" width="10.28515625" style="1" customWidth="1"/>
    <col min="2312" max="2312" width="14.5703125" style="1" customWidth="1"/>
    <col min="2313" max="2313" width="15" style="1" customWidth="1"/>
    <col min="2314" max="2562" width="9.140625" style="1"/>
    <col min="2563" max="2563" width="59.28515625" style="1" customWidth="1"/>
    <col min="2564" max="2564" width="16.7109375" style="1" customWidth="1"/>
    <col min="2565" max="2565" width="15.28515625" style="1" customWidth="1"/>
    <col min="2566" max="2566" width="15.140625" style="1" customWidth="1"/>
    <col min="2567" max="2567" width="10.28515625" style="1" customWidth="1"/>
    <col min="2568" max="2568" width="14.5703125" style="1" customWidth="1"/>
    <col min="2569" max="2569" width="15" style="1" customWidth="1"/>
    <col min="2570" max="2818" width="9.140625" style="1"/>
    <col min="2819" max="2819" width="59.28515625" style="1" customWidth="1"/>
    <col min="2820" max="2820" width="16.7109375" style="1" customWidth="1"/>
    <col min="2821" max="2821" width="15.28515625" style="1" customWidth="1"/>
    <col min="2822" max="2822" width="15.140625" style="1" customWidth="1"/>
    <col min="2823" max="2823" width="10.28515625" style="1" customWidth="1"/>
    <col min="2824" max="2824" width="14.5703125" style="1" customWidth="1"/>
    <col min="2825" max="2825" width="15" style="1" customWidth="1"/>
    <col min="2826" max="3074" width="9.140625" style="1"/>
    <col min="3075" max="3075" width="59.28515625" style="1" customWidth="1"/>
    <col min="3076" max="3076" width="16.7109375" style="1" customWidth="1"/>
    <col min="3077" max="3077" width="15.28515625" style="1" customWidth="1"/>
    <col min="3078" max="3078" width="15.140625" style="1" customWidth="1"/>
    <col min="3079" max="3079" width="10.28515625" style="1" customWidth="1"/>
    <col min="3080" max="3080" width="14.5703125" style="1" customWidth="1"/>
    <col min="3081" max="3081" width="15" style="1" customWidth="1"/>
    <col min="3082" max="3330" width="9.140625" style="1"/>
    <col min="3331" max="3331" width="59.28515625" style="1" customWidth="1"/>
    <col min="3332" max="3332" width="16.7109375" style="1" customWidth="1"/>
    <col min="3333" max="3333" width="15.28515625" style="1" customWidth="1"/>
    <col min="3334" max="3334" width="15.140625" style="1" customWidth="1"/>
    <col min="3335" max="3335" width="10.28515625" style="1" customWidth="1"/>
    <col min="3336" max="3336" width="14.5703125" style="1" customWidth="1"/>
    <col min="3337" max="3337" width="15" style="1" customWidth="1"/>
    <col min="3338" max="3586" width="9.140625" style="1"/>
    <col min="3587" max="3587" width="59.28515625" style="1" customWidth="1"/>
    <col min="3588" max="3588" width="16.7109375" style="1" customWidth="1"/>
    <col min="3589" max="3589" width="15.28515625" style="1" customWidth="1"/>
    <col min="3590" max="3590" width="15.140625" style="1" customWidth="1"/>
    <col min="3591" max="3591" width="10.28515625" style="1" customWidth="1"/>
    <col min="3592" max="3592" width="14.5703125" style="1" customWidth="1"/>
    <col min="3593" max="3593" width="15" style="1" customWidth="1"/>
    <col min="3594" max="3842" width="9.140625" style="1"/>
    <col min="3843" max="3843" width="59.28515625" style="1" customWidth="1"/>
    <col min="3844" max="3844" width="16.7109375" style="1" customWidth="1"/>
    <col min="3845" max="3845" width="15.28515625" style="1" customWidth="1"/>
    <col min="3846" max="3846" width="15.140625" style="1" customWidth="1"/>
    <col min="3847" max="3847" width="10.28515625" style="1" customWidth="1"/>
    <col min="3848" max="3848" width="14.5703125" style="1" customWidth="1"/>
    <col min="3849" max="3849" width="15" style="1" customWidth="1"/>
    <col min="3850" max="4098" width="9.140625" style="1"/>
    <col min="4099" max="4099" width="59.28515625" style="1" customWidth="1"/>
    <col min="4100" max="4100" width="16.7109375" style="1" customWidth="1"/>
    <col min="4101" max="4101" width="15.28515625" style="1" customWidth="1"/>
    <col min="4102" max="4102" width="15.140625" style="1" customWidth="1"/>
    <col min="4103" max="4103" width="10.28515625" style="1" customWidth="1"/>
    <col min="4104" max="4104" width="14.5703125" style="1" customWidth="1"/>
    <col min="4105" max="4105" width="15" style="1" customWidth="1"/>
    <col min="4106" max="4354" width="9.140625" style="1"/>
    <col min="4355" max="4355" width="59.28515625" style="1" customWidth="1"/>
    <col min="4356" max="4356" width="16.7109375" style="1" customWidth="1"/>
    <col min="4357" max="4357" width="15.28515625" style="1" customWidth="1"/>
    <col min="4358" max="4358" width="15.140625" style="1" customWidth="1"/>
    <col min="4359" max="4359" width="10.28515625" style="1" customWidth="1"/>
    <col min="4360" max="4360" width="14.5703125" style="1" customWidth="1"/>
    <col min="4361" max="4361" width="15" style="1" customWidth="1"/>
    <col min="4362" max="4610" width="9.140625" style="1"/>
    <col min="4611" max="4611" width="59.28515625" style="1" customWidth="1"/>
    <col min="4612" max="4612" width="16.7109375" style="1" customWidth="1"/>
    <col min="4613" max="4613" width="15.28515625" style="1" customWidth="1"/>
    <col min="4614" max="4614" width="15.140625" style="1" customWidth="1"/>
    <col min="4615" max="4615" width="10.28515625" style="1" customWidth="1"/>
    <col min="4616" max="4616" width="14.5703125" style="1" customWidth="1"/>
    <col min="4617" max="4617" width="15" style="1" customWidth="1"/>
    <col min="4618" max="4866" width="9.140625" style="1"/>
    <col min="4867" max="4867" width="59.28515625" style="1" customWidth="1"/>
    <col min="4868" max="4868" width="16.7109375" style="1" customWidth="1"/>
    <col min="4869" max="4869" width="15.28515625" style="1" customWidth="1"/>
    <col min="4870" max="4870" width="15.140625" style="1" customWidth="1"/>
    <col min="4871" max="4871" width="10.28515625" style="1" customWidth="1"/>
    <col min="4872" max="4872" width="14.5703125" style="1" customWidth="1"/>
    <col min="4873" max="4873" width="15" style="1" customWidth="1"/>
    <col min="4874" max="5122" width="9.140625" style="1"/>
    <col min="5123" max="5123" width="59.28515625" style="1" customWidth="1"/>
    <col min="5124" max="5124" width="16.7109375" style="1" customWidth="1"/>
    <col min="5125" max="5125" width="15.28515625" style="1" customWidth="1"/>
    <col min="5126" max="5126" width="15.140625" style="1" customWidth="1"/>
    <col min="5127" max="5127" width="10.28515625" style="1" customWidth="1"/>
    <col min="5128" max="5128" width="14.5703125" style="1" customWidth="1"/>
    <col min="5129" max="5129" width="15" style="1" customWidth="1"/>
    <col min="5130" max="5378" width="9.140625" style="1"/>
    <col min="5379" max="5379" width="59.28515625" style="1" customWidth="1"/>
    <col min="5380" max="5380" width="16.7109375" style="1" customWidth="1"/>
    <col min="5381" max="5381" width="15.28515625" style="1" customWidth="1"/>
    <col min="5382" max="5382" width="15.140625" style="1" customWidth="1"/>
    <col min="5383" max="5383" width="10.28515625" style="1" customWidth="1"/>
    <col min="5384" max="5384" width="14.5703125" style="1" customWidth="1"/>
    <col min="5385" max="5385" width="15" style="1" customWidth="1"/>
    <col min="5386" max="5634" width="9.140625" style="1"/>
    <col min="5635" max="5635" width="59.28515625" style="1" customWidth="1"/>
    <col min="5636" max="5636" width="16.7109375" style="1" customWidth="1"/>
    <col min="5637" max="5637" width="15.28515625" style="1" customWidth="1"/>
    <col min="5638" max="5638" width="15.140625" style="1" customWidth="1"/>
    <col min="5639" max="5639" width="10.28515625" style="1" customWidth="1"/>
    <col min="5640" max="5640" width="14.5703125" style="1" customWidth="1"/>
    <col min="5641" max="5641" width="15" style="1" customWidth="1"/>
    <col min="5642" max="5890" width="9.140625" style="1"/>
    <col min="5891" max="5891" width="59.28515625" style="1" customWidth="1"/>
    <col min="5892" max="5892" width="16.7109375" style="1" customWidth="1"/>
    <col min="5893" max="5893" width="15.28515625" style="1" customWidth="1"/>
    <col min="5894" max="5894" width="15.140625" style="1" customWidth="1"/>
    <col min="5895" max="5895" width="10.28515625" style="1" customWidth="1"/>
    <col min="5896" max="5896" width="14.5703125" style="1" customWidth="1"/>
    <col min="5897" max="5897" width="15" style="1" customWidth="1"/>
    <col min="5898" max="6146" width="9.140625" style="1"/>
    <col min="6147" max="6147" width="59.28515625" style="1" customWidth="1"/>
    <col min="6148" max="6148" width="16.7109375" style="1" customWidth="1"/>
    <col min="6149" max="6149" width="15.28515625" style="1" customWidth="1"/>
    <col min="6150" max="6150" width="15.140625" style="1" customWidth="1"/>
    <col min="6151" max="6151" width="10.28515625" style="1" customWidth="1"/>
    <col min="6152" max="6152" width="14.5703125" style="1" customWidth="1"/>
    <col min="6153" max="6153" width="15" style="1" customWidth="1"/>
    <col min="6154" max="6402" width="9.140625" style="1"/>
    <col min="6403" max="6403" width="59.28515625" style="1" customWidth="1"/>
    <col min="6404" max="6404" width="16.7109375" style="1" customWidth="1"/>
    <col min="6405" max="6405" width="15.28515625" style="1" customWidth="1"/>
    <col min="6406" max="6406" width="15.140625" style="1" customWidth="1"/>
    <col min="6407" max="6407" width="10.28515625" style="1" customWidth="1"/>
    <col min="6408" max="6408" width="14.5703125" style="1" customWidth="1"/>
    <col min="6409" max="6409" width="15" style="1" customWidth="1"/>
    <col min="6410" max="6658" width="9.140625" style="1"/>
    <col min="6659" max="6659" width="59.28515625" style="1" customWidth="1"/>
    <col min="6660" max="6660" width="16.7109375" style="1" customWidth="1"/>
    <col min="6661" max="6661" width="15.28515625" style="1" customWidth="1"/>
    <col min="6662" max="6662" width="15.140625" style="1" customWidth="1"/>
    <col min="6663" max="6663" width="10.28515625" style="1" customWidth="1"/>
    <col min="6664" max="6664" width="14.5703125" style="1" customWidth="1"/>
    <col min="6665" max="6665" width="15" style="1" customWidth="1"/>
    <col min="6666" max="6914" width="9.140625" style="1"/>
    <col min="6915" max="6915" width="59.28515625" style="1" customWidth="1"/>
    <col min="6916" max="6916" width="16.7109375" style="1" customWidth="1"/>
    <col min="6917" max="6917" width="15.28515625" style="1" customWidth="1"/>
    <col min="6918" max="6918" width="15.140625" style="1" customWidth="1"/>
    <col min="6919" max="6919" width="10.28515625" style="1" customWidth="1"/>
    <col min="6920" max="6920" width="14.5703125" style="1" customWidth="1"/>
    <col min="6921" max="6921" width="15" style="1" customWidth="1"/>
    <col min="6922" max="7170" width="9.140625" style="1"/>
    <col min="7171" max="7171" width="59.28515625" style="1" customWidth="1"/>
    <col min="7172" max="7172" width="16.7109375" style="1" customWidth="1"/>
    <col min="7173" max="7173" width="15.28515625" style="1" customWidth="1"/>
    <col min="7174" max="7174" width="15.140625" style="1" customWidth="1"/>
    <col min="7175" max="7175" width="10.28515625" style="1" customWidth="1"/>
    <col min="7176" max="7176" width="14.5703125" style="1" customWidth="1"/>
    <col min="7177" max="7177" width="15" style="1" customWidth="1"/>
    <col min="7178" max="7426" width="9.140625" style="1"/>
    <col min="7427" max="7427" width="59.28515625" style="1" customWidth="1"/>
    <col min="7428" max="7428" width="16.7109375" style="1" customWidth="1"/>
    <col min="7429" max="7429" width="15.28515625" style="1" customWidth="1"/>
    <col min="7430" max="7430" width="15.140625" style="1" customWidth="1"/>
    <col min="7431" max="7431" width="10.28515625" style="1" customWidth="1"/>
    <col min="7432" max="7432" width="14.5703125" style="1" customWidth="1"/>
    <col min="7433" max="7433" width="15" style="1" customWidth="1"/>
    <col min="7434" max="7682" width="9.140625" style="1"/>
    <col min="7683" max="7683" width="59.28515625" style="1" customWidth="1"/>
    <col min="7684" max="7684" width="16.7109375" style="1" customWidth="1"/>
    <col min="7685" max="7685" width="15.28515625" style="1" customWidth="1"/>
    <col min="7686" max="7686" width="15.140625" style="1" customWidth="1"/>
    <col min="7687" max="7687" width="10.28515625" style="1" customWidth="1"/>
    <col min="7688" max="7688" width="14.5703125" style="1" customWidth="1"/>
    <col min="7689" max="7689" width="15" style="1" customWidth="1"/>
    <col min="7690" max="7938" width="9.140625" style="1"/>
    <col min="7939" max="7939" width="59.28515625" style="1" customWidth="1"/>
    <col min="7940" max="7940" width="16.7109375" style="1" customWidth="1"/>
    <col min="7941" max="7941" width="15.28515625" style="1" customWidth="1"/>
    <col min="7942" max="7942" width="15.140625" style="1" customWidth="1"/>
    <col min="7943" max="7943" width="10.28515625" style="1" customWidth="1"/>
    <col min="7944" max="7944" width="14.5703125" style="1" customWidth="1"/>
    <col min="7945" max="7945" width="15" style="1" customWidth="1"/>
    <col min="7946" max="8194" width="9.140625" style="1"/>
    <col min="8195" max="8195" width="59.28515625" style="1" customWidth="1"/>
    <col min="8196" max="8196" width="16.7109375" style="1" customWidth="1"/>
    <col min="8197" max="8197" width="15.28515625" style="1" customWidth="1"/>
    <col min="8198" max="8198" width="15.140625" style="1" customWidth="1"/>
    <col min="8199" max="8199" width="10.28515625" style="1" customWidth="1"/>
    <col min="8200" max="8200" width="14.5703125" style="1" customWidth="1"/>
    <col min="8201" max="8201" width="15" style="1" customWidth="1"/>
    <col min="8202" max="8450" width="9.140625" style="1"/>
    <col min="8451" max="8451" width="59.28515625" style="1" customWidth="1"/>
    <col min="8452" max="8452" width="16.7109375" style="1" customWidth="1"/>
    <col min="8453" max="8453" width="15.28515625" style="1" customWidth="1"/>
    <col min="8454" max="8454" width="15.140625" style="1" customWidth="1"/>
    <col min="8455" max="8455" width="10.28515625" style="1" customWidth="1"/>
    <col min="8456" max="8456" width="14.5703125" style="1" customWidth="1"/>
    <col min="8457" max="8457" width="15" style="1" customWidth="1"/>
    <col min="8458" max="8706" width="9.140625" style="1"/>
    <col min="8707" max="8707" width="59.28515625" style="1" customWidth="1"/>
    <col min="8708" max="8708" width="16.7109375" style="1" customWidth="1"/>
    <col min="8709" max="8709" width="15.28515625" style="1" customWidth="1"/>
    <col min="8710" max="8710" width="15.140625" style="1" customWidth="1"/>
    <col min="8711" max="8711" width="10.28515625" style="1" customWidth="1"/>
    <col min="8712" max="8712" width="14.5703125" style="1" customWidth="1"/>
    <col min="8713" max="8713" width="15" style="1" customWidth="1"/>
    <col min="8714" max="8962" width="9.140625" style="1"/>
    <col min="8963" max="8963" width="59.28515625" style="1" customWidth="1"/>
    <col min="8964" max="8964" width="16.7109375" style="1" customWidth="1"/>
    <col min="8965" max="8965" width="15.28515625" style="1" customWidth="1"/>
    <col min="8966" max="8966" width="15.140625" style="1" customWidth="1"/>
    <col min="8967" max="8967" width="10.28515625" style="1" customWidth="1"/>
    <col min="8968" max="8968" width="14.5703125" style="1" customWidth="1"/>
    <col min="8969" max="8969" width="15" style="1" customWidth="1"/>
    <col min="8970" max="9218" width="9.140625" style="1"/>
    <col min="9219" max="9219" width="59.28515625" style="1" customWidth="1"/>
    <col min="9220" max="9220" width="16.7109375" style="1" customWidth="1"/>
    <col min="9221" max="9221" width="15.28515625" style="1" customWidth="1"/>
    <col min="9222" max="9222" width="15.140625" style="1" customWidth="1"/>
    <col min="9223" max="9223" width="10.28515625" style="1" customWidth="1"/>
    <col min="9224" max="9224" width="14.5703125" style="1" customWidth="1"/>
    <col min="9225" max="9225" width="15" style="1" customWidth="1"/>
    <col min="9226" max="9474" width="9.140625" style="1"/>
    <col min="9475" max="9475" width="59.28515625" style="1" customWidth="1"/>
    <col min="9476" max="9476" width="16.7109375" style="1" customWidth="1"/>
    <col min="9477" max="9477" width="15.28515625" style="1" customWidth="1"/>
    <col min="9478" max="9478" width="15.140625" style="1" customWidth="1"/>
    <col min="9479" max="9479" width="10.28515625" style="1" customWidth="1"/>
    <col min="9480" max="9480" width="14.5703125" style="1" customWidth="1"/>
    <col min="9481" max="9481" width="15" style="1" customWidth="1"/>
    <col min="9482" max="9730" width="9.140625" style="1"/>
    <col min="9731" max="9731" width="59.28515625" style="1" customWidth="1"/>
    <col min="9732" max="9732" width="16.7109375" style="1" customWidth="1"/>
    <col min="9733" max="9733" width="15.28515625" style="1" customWidth="1"/>
    <col min="9734" max="9734" width="15.140625" style="1" customWidth="1"/>
    <col min="9735" max="9735" width="10.28515625" style="1" customWidth="1"/>
    <col min="9736" max="9736" width="14.5703125" style="1" customWidth="1"/>
    <col min="9737" max="9737" width="15" style="1" customWidth="1"/>
    <col min="9738" max="9986" width="9.140625" style="1"/>
    <col min="9987" max="9987" width="59.28515625" style="1" customWidth="1"/>
    <col min="9988" max="9988" width="16.7109375" style="1" customWidth="1"/>
    <col min="9989" max="9989" width="15.28515625" style="1" customWidth="1"/>
    <col min="9990" max="9990" width="15.140625" style="1" customWidth="1"/>
    <col min="9991" max="9991" width="10.28515625" style="1" customWidth="1"/>
    <col min="9992" max="9992" width="14.5703125" style="1" customWidth="1"/>
    <col min="9993" max="9993" width="15" style="1" customWidth="1"/>
    <col min="9994" max="10242" width="9.140625" style="1"/>
    <col min="10243" max="10243" width="59.28515625" style="1" customWidth="1"/>
    <col min="10244" max="10244" width="16.7109375" style="1" customWidth="1"/>
    <col min="10245" max="10245" width="15.28515625" style="1" customWidth="1"/>
    <col min="10246" max="10246" width="15.140625" style="1" customWidth="1"/>
    <col min="10247" max="10247" width="10.28515625" style="1" customWidth="1"/>
    <col min="10248" max="10248" width="14.5703125" style="1" customWidth="1"/>
    <col min="10249" max="10249" width="15" style="1" customWidth="1"/>
    <col min="10250" max="10498" width="9.140625" style="1"/>
    <col min="10499" max="10499" width="59.28515625" style="1" customWidth="1"/>
    <col min="10500" max="10500" width="16.7109375" style="1" customWidth="1"/>
    <col min="10501" max="10501" width="15.28515625" style="1" customWidth="1"/>
    <col min="10502" max="10502" width="15.140625" style="1" customWidth="1"/>
    <col min="10503" max="10503" width="10.28515625" style="1" customWidth="1"/>
    <col min="10504" max="10504" width="14.5703125" style="1" customWidth="1"/>
    <col min="10505" max="10505" width="15" style="1" customWidth="1"/>
    <col min="10506" max="10754" width="9.140625" style="1"/>
    <col min="10755" max="10755" width="59.28515625" style="1" customWidth="1"/>
    <col min="10756" max="10756" width="16.7109375" style="1" customWidth="1"/>
    <col min="10757" max="10757" width="15.28515625" style="1" customWidth="1"/>
    <col min="10758" max="10758" width="15.140625" style="1" customWidth="1"/>
    <col min="10759" max="10759" width="10.28515625" style="1" customWidth="1"/>
    <col min="10760" max="10760" width="14.5703125" style="1" customWidth="1"/>
    <col min="10761" max="10761" width="15" style="1" customWidth="1"/>
    <col min="10762" max="11010" width="9.140625" style="1"/>
    <col min="11011" max="11011" width="59.28515625" style="1" customWidth="1"/>
    <col min="11012" max="11012" width="16.7109375" style="1" customWidth="1"/>
    <col min="11013" max="11013" width="15.28515625" style="1" customWidth="1"/>
    <col min="11014" max="11014" width="15.140625" style="1" customWidth="1"/>
    <col min="11015" max="11015" width="10.28515625" style="1" customWidth="1"/>
    <col min="11016" max="11016" width="14.5703125" style="1" customWidth="1"/>
    <col min="11017" max="11017" width="15" style="1" customWidth="1"/>
    <col min="11018" max="11266" width="9.140625" style="1"/>
    <col min="11267" max="11267" width="59.28515625" style="1" customWidth="1"/>
    <col min="11268" max="11268" width="16.7109375" style="1" customWidth="1"/>
    <col min="11269" max="11269" width="15.28515625" style="1" customWidth="1"/>
    <col min="11270" max="11270" width="15.140625" style="1" customWidth="1"/>
    <col min="11271" max="11271" width="10.28515625" style="1" customWidth="1"/>
    <col min="11272" max="11272" width="14.5703125" style="1" customWidth="1"/>
    <col min="11273" max="11273" width="15" style="1" customWidth="1"/>
    <col min="11274" max="11522" width="9.140625" style="1"/>
    <col min="11523" max="11523" width="59.28515625" style="1" customWidth="1"/>
    <col min="11524" max="11524" width="16.7109375" style="1" customWidth="1"/>
    <col min="11525" max="11525" width="15.28515625" style="1" customWidth="1"/>
    <col min="11526" max="11526" width="15.140625" style="1" customWidth="1"/>
    <col min="11527" max="11527" width="10.28515625" style="1" customWidth="1"/>
    <col min="11528" max="11528" width="14.5703125" style="1" customWidth="1"/>
    <col min="11529" max="11529" width="15" style="1" customWidth="1"/>
    <col min="11530" max="11778" width="9.140625" style="1"/>
    <col min="11779" max="11779" width="59.28515625" style="1" customWidth="1"/>
    <col min="11780" max="11780" width="16.7109375" style="1" customWidth="1"/>
    <col min="11781" max="11781" width="15.28515625" style="1" customWidth="1"/>
    <col min="11782" max="11782" width="15.140625" style="1" customWidth="1"/>
    <col min="11783" max="11783" width="10.28515625" style="1" customWidth="1"/>
    <col min="11784" max="11784" width="14.5703125" style="1" customWidth="1"/>
    <col min="11785" max="11785" width="15" style="1" customWidth="1"/>
    <col min="11786" max="12034" width="9.140625" style="1"/>
    <col min="12035" max="12035" width="59.28515625" style="1" customWidth="1"/>
    <col min="12036" max="12036" width="16.7109375" style="1" customWidth="1"/>
    <col min="12037" max="12037" width="15.28515625" style="1" customWidth="1"/>
    <col min="12038" max="12038" width="15.140625" style="1" customWidth="1"/>
    <col min="12039" max="12039" width="10.28515625" style="1" customWidth="1"/>
    <col min="12040" max="12040" width="14.5703125" style="1" customWidth="1"/>
    <col min="12041" max="12041" width="15" style="1" customWidth="1"/>
    <col min="12042" max="12290" width="9.140625" style="1"/>
    <col min="12291" max="12291" width="59.28515625" style="1" customWidth="1"/>
    <col min="12292" max="12292" width="16.7109375" style="1" customWidth="1"/>
    <col min="12293" max="12293" width="15.28515625" style="1" customWidth="1"/>
    <col min="12294" max="12294" width="15.140625" style="1" customWidth="1"/>
    <col min="12295" max="12295" width="10.28515625" style="1" customWidth="1"/>
    <col min="12296" max="12296" width="14.5703125" style="1" customWidth="1"/>
    <col min="12297" max="12297" width="15" style="1" customWidth="1"/>
    <col min="12298" max="12546" width="9.140625" style="1"/>
    <col min="12547" max="12547" width="59.28515625" style="1" customWidth="1"/>
    <col min="12548" max="12548" width="16.7109375" style="1" customWidth="1"/>
    <col min="12549" max="12549" width="15.28515625" style="1" customWidth="1"/>
    <col min="12550" max="12550" width="15.140625" style="1" customWidth="1"/>
    <col min="12551" max="12551" width="10.28515625" style="1" customWidth="1"/>
    <col min="12552" max="12552" width="14.5703125" style="1" customWidth="1"/>
    <col min="12553" max="12553" width="15" style="1" customWidth="1"/>
    <col min="12554" max="12802" width="9.140625" style="1"/>
    <col min="12803" max="12803" width="59.28515625" style="1" customWidth="1"/>
    <col min="12804" max="12804" width="16.7109375" style="1" customWidth="1"/>
    <col min="12805" max="12805" width="15.28515625" style="1" customWidth="1"/>
    <col min="12806" max="12806" width="15.140625" style="1" customWidth="1"/>
    <col min="12807" max="12807" width="10.28515625" style="1" customWidth="1"/>
    <col min="12808" max="12808" width="14.5703125" style="1" customWidth="1"/>
    <col min="12809" max="12809" width="15" style="1" customWidth="1"/>
    <col min="12810" max="13058" width="9.140625" style="1"/>
    <col min="13059" max="13059" width="59.28515625" style="1" customWidth="1"/>
    <col min="13060" max="13060" width="16.7109375" style="1" customWidth="1"/>
    <col min="13061" max="13061" width="15.28515625" style="1" customWidth="1"/>
    <col min="13062" max="13062" width="15.140625" style="1" customWidth="1"/>
    <col min="13063" max="13063" width="10.28515625" style="1" customWidth="1"/>
    <col min="13064" max="13064" width="14.5703125" style="1" customWidth="1"/>
    <col min="13065" max="13065" width="15" style="1" customWidth="1"/>
    <col min="13066" max="13314" width="9.140625" style="1"/>
    <col min="13315" max="13315" width="59.28515625" style="1" customWidth="1"/>
    <col min="13316" max="13316" width="16.7109375" style="1" customWidth="1"/>
    <col min="13317" max="13317" width="15.28515625" style="1" customWidth="1"/>
    <col min="13318" max="13318" width="15.140625" style="1" customWidth="1"/>
    <col min="13319" max="13319" width="10.28515625" style="1" customWidth="1"/>
    <col min="13320" max="13320" width="14.5703125" style="1" customWidth="1"/>
    <col min="13321" max="13321" width="15" style="1" customWidth="1"/>
    <col min="13322" max="13570" width="9.140625" style="1"/>
    <col min="13571" max="13571" width="59.28515625" style="1" customWidth="1"/>
    <col min="13572" max="13572" width="16.7109375" style="1" customWidth="1"/>
    <col min="13573" max="13573" width="15.28515625" style="1" customWidth="1"/>
    <col min="13574" max="13574" width="15.140625" style="1" customWidth="1"/>
    <col min="13575" max="13575" width="10.28515625" style="1" customWidth="1"/>
    <col min="13576" max="13576" width="14.5703125" style="1" customWidth="1"/>
    <col min="13577" max="13577" width="15" style="1" customWidth="1"/>
    <col min="13578" max="13826" width="9.140625" style="1"/>
    <col min="13827" max="13827" width="59.28515625" style="1" customWidth="1"/>
    <col min="13828" max="13828" width="16.7109375" style="1" customWidth="1"/>
    <col min="13829" max="13829" width="15.28515625" style="1" customWidth="1"/>
    <col min="13830" max="13830" width="15.140625" style="1" customWidth="1"/>
    <col min="13831" max="13831" width="10.28515625" style="1" customWidth="1"/>
    <col min="13832" max="13832" width="14.5703125" style="1" customWidth="1"/>
    <col min="13833" max="13833" width="15" style="1" customWidth="1"/>
    <col min="13834" max="14082" width="9.140625" style="1"/>
    <col min="14083" max="14083" width="59.28515625" style="1" customWidth="1"/>
    <col min="14084" max="14084" width="16.7109375" style="1" customWidth="1"/>
    <col min="14085" max="14085" width="15.28515625" style="1" customWidth="1"/>
    <col min="14086" max="14086" width="15.140625" style="1" customWidth="1"/>
    <col min="14087" max="14087" width="10.28515625" style="1" customWidth="1"/>
    <col min="14088" max="14088" width="14.5703125" style="1" customWidth="1"/>
    <col min="14089" max="14089" width="15" style="1" customWidth="1"/>
    <col min="14090" max="14338" width="9.140625" style="1"/>
    <col min="14339" max="14339" width="59.28515625" style="1" customWidth="1"/>
    <col min="14340" max="14340" width="16.7109375" style="1" customWidth="1"/>
    <col min="14341" max="14341" width="15.28515625" style="1" customWidth="1"/>
    <col min="14342" max="14342" width="15.140625" style="1" customWidth="1"/>
    <col min="14343" max="14343" width="10.28515625" style="1" customWidth="1"/>
    <col min="14344" max="14344" width="14.5703125" style="1" customWidth="1"/>
    <col min="14345" max="14345" width="15" style="1" customWidth="1"/>
    <col min="14346" max="14594" width="9.140625" style="1"/>
    <col min="14595" max="14595" width="59.28515625" style="1" customWidth="1"/>
    <col min="14596" max="14596" width="16.7109375" style="1" customWidth="1"/>
    <col min="14597" max="14597" width="15.28515625" style="1" customWidth="1"/>
    <col min="14598" max="14598" width="15.140625" style="1" customWidth="1"/>
    <col min="14599" max="14599" width="10.28515625" style="1" customWidth="1"/>
    <col min="14600" max="14600" width="14.5703125" style="1" customWidth="1"/>
    <col min="14601" max="14601" width="15" style="1" customWidth="1"/>
    <col min="14602" max="14850" width="9.140625" style="1"/>
    <col min="14851" max="14851" width="59.28515625" style="1" customWidth="1"/>
    <col min="14852" max="14852" width="16.7109375" style="1" customWidth="1"/>
    <col min="14853" max="14853" width="15.28515625" style="1" customWidth="1"/>
    <col min="14854" max="14854" width="15.140625" style="1" customWidth="1"/>
    <col min="14855" max="14855" width="10.28515625" style="1" customWidth="1"/>
    <col min="14856" max="14856" width="14.5703125" style="1" customWidth="1"/>
    <col min="14857" max="14857" width="15" style="1" customWidth="1"/>
    <col min="14858" max="15106" width="9.140625" style="1"/>
    <col min="15107" max="15107" width="59.28515625" style="1" customWidth="1"/>
    <col min="15108" max="15108" width="16.7109375" style="1" customWidth="1"/>
    <col min="15109" max="15109" width="15.28515625" style="1" customWidth="1"/>
    <col min="15110" max="15110" width="15.140625" style="1" customWidth="1"/>
    <col min="15111" max="15111" width="10.28515625" style="1" customWidth="1"/>
    <col min="15112" max="15112" width="14.5703125" style="1" customWidth="1"/>
    <col min="15113" max="15113" width="15" style="1" customWidth="1"/>
    <col min="15114" max="15362" width="9.140625" style="1"/>
    <col min="15363" max="15363" width="59.28515625" style="1" customWidth="1"/>
    <col min="15364" max="15364" width="16.7109375" style="1" customWidth="1"/>
    <col min="15365" max="15365" width="15.28515625" style="1" customWidth="1"/>
    <col min="15366" max="15366" width="15.140625" style="1" customWidth="1"/>
    <col min="15367" max="15367" width="10.28515625" style="1" customWidth="1"/>
    <col min="15368" max="15368" width="14.5703125" style="1" customWidth="1"/>
    <col min="15369" max="15369" width="15" style="1" customWidth="1"/>
    <col min="15370" max="15618" width="9.140625" style="1"/>
    <col min="15619" max="15619" width="59.28515625" style="1" customWidth="1"/>
    <col min="15620" max="15620" width="16.7109375" style="1" customWidth="1"/>
    <col min="15621" max="15621" width="15.28515625" style="1" customWidth="1"/>
    <col min="15622" max="15622" width="15.140625" style="1" customWidth="1"/>
    <col min="15623" max="15623" width="10.28515625" style="1" customWidth="1"/>
    <col min="15624" max="15624" width="14.5703125" style="1" customWidth="1"/>
    <col min="15625" max="15625" width="15" style="1" customWidth="1"/>
    <col min="15626" max="15874" width="9.140625" style="1"/>
    <col min="15875" max="15875" width="59.28515625" style="1" customWidth="1"/>
    <col min="15876" max="15876" width="16.7109375" style="1" customWidth="1"/>
    <col min="15877" max="15877" width="15.28515625" style="1" customWidth="1"/>
    <col min="15878" max="15878" width="15.140625" style="1" customWidth="1"/>
    <col min="15879" max="15879" width="10.28515625" style="1" customWidth="1"/>
    <col min="15880" max="15880" width="14.5703125" style="1" customWidth="1"/>
    <col min="15881" max="15881" width="15" style="1" customWidth="1"/>
    <col min="15882" max="16130" width="9.140625" style="1"/>
    <col min="16131" max="16131" width="59.28515625" style="1" customWidth="1"/>
    <col min="16132" max="16132" width="16.7109375" style="1" customWidth="1"/>
    <col min="16133" max="16133" width="15.28515625" style="1" customWidth="1"/>
    <col min="16134" max="16134" width="15.140625" style="1" customWidth="1"/>
    <col min="16135" max="16135" width="10.28515625" style="1" customWidth="1"/>
    <col min="16136" max="16136" width="14.5703125" style="1" customWidth="1"/>
    <col min="16137" max="16137" width="15" style="1" customWidth="1"/>
    <col min="16138" max="16384" width="9.140625" style="1"/>
  </cols>
  <sheetData>
    <row r="1" spans="1:9" s="3" customFormat="1" ht="15" x14ac:dyDescent="0.25">
      <c r="A1" s="3" t="s">
        <v>1032</v>
      </c>
    </row>
    <row r="2" spans="1:9" ht="15" thickBot="1" x14ac:dyDescent="0.25"/>
    <row r="3" spans="1:9" s="3" customFormat="1" ht="45.75" thickBot="1" x14ac:dyDescent="0.3">
      <c r="A3" s="13" t="s">
        <v>1</v>
      </c>
      <c r="B3" s="135" t="s">
        <v>2</v>
      </c>
      <c r="C3" s="136" t="s">
        <v>3</v>
      </c>
      <c r="D3" s="137" t="s">
        <v>1033</v>
      </c>
      <c r="E3" s="138" t="s">
        <v>1034</v>
      </c>
      <c r="F3" s="139" t="s">
        <v>6</v>
      </c>
      <c r="G3" s="140" t="s">
        <v>1035</v>
      </c>
      <c r="H3" s="139" t="s">
        <v>1036</v>
      </c>
      <c r="I3" s="141" t="s">
        <v>1037</v>
      </c>
    </row>
    <row r="4" spans="1:9" x14ac:dyDescent="0.2">
      <c r="A4" s="142"/>
      <c r="B4" s="143"/>
      <c r="C4" s="144"/>
      <c r="D4" s="143"/>
      <c r="E4" s="144"/>
      <c r="F4" s="143"/>
      <c r="G4" s="144"/>
      <c r="H4" s="143"/>
      <c r="I4" s="145"/>
    </row>
    <row r="5" spans="1:9" x14ac:dyDescent="0.2">
      <c r="A5" s="5" t="s">
        <v>1038</v>
      </c>
      <c r="B5" s="146">
        <f>'All Departments'!C50</f>
        <v>76301596</v>
      </c>
      <c r="C5" s="146">
        <f>'All Departments'!D50</f>
        <v>5775882.3600000003</v>
      </c>
      <c r="D5" s="146">
        <f>'All Departments'!E50</f>
        <v>0</v>
      </c>
      <c r="E5" s="146">
        <f>'All Departments'!F50</f>
        <v>34171211.259999998</v>
      </c>
      <c r="F5" s="146">
        <f>'All Departments'!G50</f>
        <v>42130384.740000002</v>
      </c>
      <c r="G5" s="146">
        <f>'All Departments'!H50</f>
        <v>44.78</v>
      </c>
      <c r="H5" s="146">
        <f>'All Departments'!I50</f>
        <v>111210.48000000008</v>
      </c>
      <c r="I5" s="146">
        <f>'All Departments'!J50</f>
        <v>76412806.479999989</v>
      </c>
    </row>
    <row r="6" spans="1:9" x14ac:dyDescent="0.2">
      <c r="A6" s="5"/>
      <c r="B6" s="146"/>
      <c r="C6" s="147"/>
      <c r="D6" s="146"/>
      <c r="E6" s="147"/>
      <c r="F6" s="146"/>
      <c r="G6" s="147"/>
      <c r="H6" s="146"/>
      <c r="I6" s="148"/>
    </row>
    <row r="7" spans="1:9" x14ac:dyDescent="0.2">
      <c r="A7" s="5" t="s">
        <v>292</v>
      </c>
      <c r="B7" s="146">
        <f>'All Departments'!C172</f>
        <v>48195369</v>
      </c>
      <c r="C7" s="146">
        <f>'All Departments'!D172</f>
        <v>3784048.3899999997</v>
      </c>
      <c r="D7" s="146">
        <f>'All Departments'!E172</f>
        <v>637031.37</v>
      </c>
      <c r="E7" s="146">
        <f>'All Departments'!F172</f>
        <v>18095337.629999999</v>
      </c>
      <c r="F7" s="146">
        <f>'All Departments'!G172</f>
        <v>29463000.000000004</v>
      </c>
      <c r="G7" s="146">
        <f>'All Departments'!H172</f>
        <v>37.54</v>
      </c>
      <c r="H7" s="146">
        <f>'All Departments'!I172</f>
        <v>4899866</v>
      </c>
      <c r="I7" s="146">
        <f>'All Departments'!J172</f>
        <v>53095235</v>
      </c>
    </row>
    <row r="8" spans="1:9" x14ac:dyDescent="0.2">
      <c r="A8" s="5"/>
      <c r="B8" s="7"/>
      <c r="C8" s="149"/>
      <c r="D8" s="7"/>
      <c r="E8" s="149"/>
      <c r="F8" s="7"/>
      <c r="G8" s="149"/>
      <c r="H8" s="7"/>
      <c r="I8" s="150"/>
    </row>
    <row r="9" spans="1:9" x14ac:dyDescent="0.2">
      <c r="A9" s="5" t="s">
        <v>1003</v>
      </c>
      <c r="B9" s="146">
        <f>'All Departments'!C191</f>
        <v>4385592</v>
      </c>
      <c r="C9" s="146">
        <f>'All Departments'!D191</f>
        <v>284330.71999999997</v>
      </c>
      <c r="D9" s="146">
        <f>'All Departments'!E191</f>
        <v>187397.33000000002</v>
      </c>
      <c r="E9" s="146">
        <f>'All Departments'!F191</f>
        <v>1458195.7</v>
      </c>
      <c r="F9" s="146">
        <f>'All Departments'!G191</f>
        <v>2739998.9699999997</v>
      </c>
      <c r="G9" s="146">
        <f>'All Departments'!H191</f>
        <v>33.24</v>
      </c>
      <c r="H9" s="146">
        <f>'All Departments'!I191</f>
        <v>2117000</v>
      </c>
      <c r="I9" s="146">
        <f>'All Departments'!J191</f>
        <v>6502592</v>
      </c>
    </row>
    <row r="10" spans="1:9" x14ac:dyDescent="0.2">
      <c r="A10" s="5"/>
      <c r="B10" s="7"/>
      <c r="C10" s="149"/>
      <c r="D10" s="7"/>
      <c r="E10" s="149"/>
      <c r="F10" s="7"/>
      <c r="G10" s="149"/>
      <c r="H10" s="7"/>
      <c r="I10" s="150"/>
    </row>
    <row r="11" spans="1:9" x14ac:dyDescent="0.2">
      <c r="A11" s="5" t="s">
        <v>334</v>
      </c>
      <c r="B11" s="146">
        <f>'All Departments'!C200</f>
        <v>0</v>
      </c>
      <c r="C11" s="146">
        <f>'All Departments'!D200</f>
        <v>37650.94</v>
      </c>
      <c r="D11" s="146">
        <f>'All Departments'!E200</f>
        <v>0</v>
      </c>
      <c r="E11" s="146">
        <f>'All Departments'!F200</f>
        <v>225477.25</v>
      </c>
      <c r="F11" s="146">
        <f>'All Departments'!G200</f>
        <v>-225477.25</v>
      </c>
      <c r="G11" s="146">
        <f>'All Departments'!H200</f>
        <v>0</v>
      </c>
      <c r="H11" s="146">
        <f>'All Departments'!I200</f>
        <v>250000</v>
      </c>
      <c r="I11" s="146">
        <f>'All Departments'!J200</f>
        <v>250000</v>
      </c>
    </row>
    <row r="12" spans="1:9" x14ac:dyDescent="0.2">
      <c r="A12" s="5"/>
      <c r="B12" s="7"/>
      <c r="C12" s="149"/>
      <c r="D12" s="7"/>
      <c r="E12" s="149"/>
      <c r="F12" s="7"/>
      <c r="G12" s="149"/>
      <c r="H12" s="7"/>
      <c r="I12" s="150"/>
    </row>
    <row r="13" spans="1:9" x14ac:dyDescent="0.2">
      <c r="A13" s="5" t="s">
        <v>337</v>
      </c>
      <c r="B13" s="146">
        <f>'All Departments'!C205</f>
        <v>4232000</v>
      </c>
      <c r="C13" s="146">
        <f>'All Departments'!D205</f>
        <v>0</v>
      </c>
      <c r="D13" s="146">
        <f>'All Departments'!E205</f>
        <v>0</v>
      </c>
      <c r="E13" s="146">
        <f>'All Departments'!F205</f>
        <v>0</v>
      </c>
      <c r="F13" s="146">
        <f>'All Departments'!G205</f>
        <v>4232000</v>
      </c>
      <c r="G13" s="146">
        <f>'All Departments'!H205</f>
        <v>0</v>
      </c>
      <c r="H13" s="146">
        <f>'All Departments'!I205</f>
        <v>3768000</v>
      </c>
      <c r="I13" s="146">
        <f>'All Departments'!J205</f>
        <v>8000000</v>
      </c>
    </row>
    <row r="14" spans="1:9" x14ac:dyDescent="0.2">
      <c r="A14" s="5"/>
      <c r="B14" s="7"/>
      <c r="C14" s="149"/>
      <c r="D14" s="7"/>
      <c r="E14" s="149"/>
      <c r="F14" s="7"/>
      <c r="G14" s="149"/>
      <c r="H14" s="7"/>
      <c r="I14" s="150"/>
    </row>
    <row r="15" spans="1:9" s="3" customFormat="1" ht="15" x14ac:dyDescent="0.25">
      <c r="A15" s="18" t="s">
        <v>339</v>
      </c>
      <c r="B15" s="151">
        <f>B5+B7+B9+B11+B13</f>
        <v>133114557</v>
      </c>
      <c r="C15" s="151">
        <f t="shared" ref="C15:F15" si="0">C5+C7+C9+C11+C13</f>
        <v>9881912.4100000001</v>
      </c>
      <c r="D15" s="151">
        <f t="shared" si="0"/>
        <v>824428.7</v>
      </c>
      <c r="E15" s="151">
        <f t="shared" si="0"/>
        <v>53950221.840000004</v>
      </c>
      <c r="F15" s="151">
        <f t="shared" si="0"/>
        <v>78339906.460000008</v>
      </c>
      <c r="G15" s="151">
        <f>E15/B15*100</f>
        <v>40.52916755002235</v>
      </c>
      <c r="H15" s="151">
        <f t="shared" ref="H15:I15" si="1">H5+H7+H9+H11+H13</f>
        <v>11146076.48</v>
      </c>
      <c r="I15" s="151">
        <f t="shared" si="1"/>
        <v>144260633.47999999</v>
      </c>
    </row>
    <row r="16" spans="1:9" x14ac:dyDescent="0.2">
      <c r="A16" s="5"/>
      <c r="B16" s="7"/>
      <c r="C16" s="149"/>
      <c r="D16" s="7"/>
      <c r="E16" s="149"/>
      <c r="F16" s="7"/>
      <c r="G16" s="149"/>
      <c r="H16" s="7"/>
      <c r="I16" s="150"/>
    </row>
    <row r="17" spans="1:9" x14ac:dyDescent="0.2">
      <c r="A17" s="5" t="s">
        <v>472</v>
      </c>
      <c r="B17" s="146">
        <f>'All Departments'!C346</f>
        <v>20308424</v>
      </c>
      <c r="C17" s="146">
        <f>'All Departments'!D346</f>
        <v>795760</v>
      </c>
      <c r="D17" s="146">
        <f>'All Departments'!E346</f>
        <v>311070</v>
      </c>
      <c r="E17" s="146">
        <f>'All Departments'!F346</f>
        <v>4382975.55</v>
      </c>
      <c r="F17" s="146">
        <f>'All Departments'!G346</f>
        <v>15614378.449999999</v>
      </c>
      <c r="G17" s="146">
        <f>'All Departments'!H346</f>
        <v>21.58</v>
      </c>
      <c r="H17" s="146">
        <f>'All Departments'!I346</f>
        <v>1362217.4100000001</v>
      </c>
      <c r="I17" s="146">
        <f>'All Departments'!J346</f>
        <v>21670641.41</v>
      </c>
    </row>
    <row r="18" spans="1:9" x14ac:dyDescent="0.2">
      <c r="A18" s="5"/>
      <c r="B18" s="7"/>
      <c r="C18" s="149"/>
      <c r="D18" s="7"/>
      <c r="E18" s="149"/>
      <c r="F18" s="7"/>
      <c r="G18" s="149"/>
      <c r="H18" s="7"/>
      <c r="I18" s="150"/>
    </row>
    <row r="19" spans="1:9" x14ac:dyDescent="0.2">
      <c r="A19" s="5" t="s">
        <v>495</v>
      </c>
      <c r="B19" s="146">
        <f>'All Departments'!C361</f>
        <v>28967726</v>
      </c>
      <c r="C19" s="146">
        <f>'All Departments'!D361</f>
        <v>1150695.8999999999</v>
      </c>
      <c r="D19" s="146">
        <f>'All Departments'!E361</f>
        <v>0</v>
      </c>
      <c r="E19" s="146">
        <f>'All Departments'!F361</f>
        <v>10326108.6</v>
      </c>
      <c r="F19" s="146">
        <f>'All Departments'!G361</f>
        <v>18641617.399999999</v>
      </c>
      <c r="G19" s="146">
        <f>'All Departments'!H361</f>
        <v>35.64</v>
      </c>
      <c r="H19" s="146">
        <f>'All Departments'!I361</f>
        <v>653079.96</v>
      </c>
      <c r="I19" s="146">
        <f>'All Departments'!J361</f>
        <v>29620805.960000001</v>
      </c>
    </row>
    <row r="20" spans="1:9" x14ac:dyDescent="0.2">
      <c r="A20" s="5"/>
      <c r="B20" s="7"/>
      <c r="C20" s="149"/>
      <c r="D20" s="7"/>
      <c r="E20" s="149"/>
      <c r="F20" s="7"/>
      <c r="G20" s="149"/>
      <c r="H20" s="7"/>
      <c r="I20" s="150"/>
    </row>
    <row r="21" spans="1:9" s="3" customFormat="1" ht="15" x14ac:dyDescent="0.25">
      <c r="A21" s="18" t="s">
        <v>1039</v>
      </c>
      <c r="B21" s="151">
        <f>B17+B19</f>
        <v>49276150</v>
      </c>
      <c r="C21" s="151">
        <f t="shared" ref="C21:F21" si="2">C17+C19</f>
        <v>1946455.9</v>
      </c>
      <c r="D21" s="151">
        <f t="shared" si="2"/>
        <v>311070</v>
      </c>
      <c r="E21" s="151">
        <f t="shared" si="2"/>
        <v>14709084.149999999</v>
      </c>
      <c r="F21" s="151">
        <f t="shared" si="2"/>
        <v>34255995.849999994</v>
      </c>
      <c r="G21" s="152">
        <f>E21/B21*100</f>
        <v>29.850311256053892</v>
      </c>
      <c r="H21" s="151">
        <f t="shared" ref="H21:I21" si="3">H17+H19</f>
        <v>2015297.37</v>
      </c>
      <c r="I21" s="151">
        <f t="shared" si="3"/>
        <v>51291447.370000005</v>
      </c>
    </row>
    <row r="22" spans="1:9" x14ac:dyDescent="0.2">
      <c r="A22" s="5"/>
      <c r="B22" s="7"/>
      <c r="C22" s="149"/>
      <c r="D22" s="7"/>
      <c r="E22" s="149"/>
      <c r="F22" s="7"/>
      <c r="G22" s="149"/>
      <c r="H22" s="7"/>
      <c r="I22" s="150"/>
    </row>
    <row r="23" spans="1:9" s="3" customFormat="1" ht="15" x14ac:dyDescent="0.25">
      <c r="A23" s="18" t="s">
        <v>1040</v>
      </c>
      <c r="B23" s="151">
        <f>B15+B21</f>
        <v>182390707</v>
      </c>
      <c r="C23" s="151">
        <f t="shared" ref="C23:F23" si="4">C15+C21</f>
        <v>11828368.310000001</v>
      </c>
      <c r="D23" s="151">
        <f t="shared" si="4"/>
        <v>1135498.7</v>
      </c>
      <c r="E23" s="151">
        <f t="shared" si="4"/>
        <v>68659305.99000001</v>
      </c>
      <c r="F23" s="151">
        <f t="shared" si="4"/>
        <v>112595902.31</v>
      </c>
      <c r="G23" s="152">
        <f>E23/B23*100</f>
        <v>37.644081279864771</v>
      </c>
      <c r="H23" s="151">
        <f t="shared" ref="H23:I23" si="5">H15+H21</f>
        <v>13161373.850000001</v>
      </c>
      <c r="I23" s="151">
        <f t="shared" si="5"/>
        <v>195552080.84999999</v>
      </c>
    </row>
    <row r="24" spans="1:9" s="3" customFormat="1" ht="15" x14ac:dyDescent="0.25">
      <c r="A24" s="18"/>
      <c r="B24" s="19"/>
      <c r="C24" s="153"/>
      <c r="D24" s="19"/>
      <c r="E24" s="153"/>
      <c r="F24" s="19"/>
      <c r="G24" s="153"/>
      <c r="H24" s="19"/>
      <c r="I24" s="154"/>
    </row>
    <row r="25" spans="1:9" s="157" customFormat="1" ht="15" x14ac:dyDescent="0.25">
      <c r="A25" s="155" t="s">
        <v>429</v>
      </c>
      <c r="B25" s="156">
        <f>'[1]All Departments'!C387</f>
        <v>-182667005</v>
      </c>
      <c r="C25" s="156">
        <f>'[1]All Departments'!D387</f>
        <v>-14626932.99</v>
      </c>
      <c r="D25" s="156">
        <f>'[1]All Departments'!E387</f>
        <v>0</v>
      </c>
      <c r="E25" s="156">
        <f>'[1]All Departments'!F387</f>
        <v>-107856487.33</v>
      </c>
      <c r="F25" s="156">
        <f>'[1]All Departments'!G387</f>
        <v>-74810517.670000002</v>
      </c>
      <c r="G25" s="156">
        <f>'[1]All Departments'!H387</f>
        <v>59.04</v>
      </c>
      <c r="H25" s="156">
        <f>'All Departments'!I292</f>
        <v>-13115623.949999999</v>
      </c>
      <c r="I25" s="156">
        <f>'All Departments'!J292</f>
        <v>-195782628.95000002</v>
      </c>
    </row>
    <row r="26" spans="1:9" s="3" customFormat="1" ht="15" x14ac:dyDescent="0.25">
      <c r="A26" s="18"/>
      <c r="B26" s="19"/>
      <c r="C26" s="153"/>
      <c r="D26" s="19"/>
      <c r="E26" s="153"/>
      <c r="F26" s="19"/>
      <c r="G26" s="153"/>
      <c r="H26" s="19"/>
      <c r="I26" s="154"/>
    </row>
    <row r="27" spans="1:9" s="3" customFormat="1" ht="15.75" thickBot="1" x14ac:dyDescent="0.3">
      <c r="A27" s="158" t="s">
        <v>436</v>
      </c>
      <c r="B27" s="159">
        <f>B23+B25</f>
        <v>-276298</v>
      </c>
      <c r="C27" s="159">
        <f t="shared" ref="C27:F27" si="6">C23+C25</f>
        <v>-2798564.6799999997</v>
      </c>
      <c r="D27" s="159">
        <f t="shared" si="6"/>
        <v>1135498.7</v>
      </c>
      <c r="E27" s="159">
        <f t="shared" si="6"/>
        <v>-39197181.339999989</v>
      </c>
      <c r="F27" s="159">
        <f t="shared" si="6"/>
        <v>37785384.640000001</v>
      </c>
      <c r="G27" s="152"/>
      <c r="H27" s="159">
        <f t="shared" ref="H27:I27" si="7">H23+H25</f>
        <v>45749.900000002235</v>
      </c>
      <c r="I27" s="159">
        <f t="shared" si="7"/>
        <v>-230548.10000002384</v>
      </c>
    </row>
    <row r="28" spans="1:9" x14ac:dyDescent="0.2">
      <c r="B28" s="160"/>
    </row>
    <row r="29" spans="1:9" x14ac:dyDescent="0.2">
      <c r="C29" s="160"/>
    </row>
  </sheetData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3"/>
  <sheetViews>
    <sheetView tabSelected="1" topLeftCell="A1423" zoomScaleNormal="100" workbookViewId="0">
      <selection activeCell="G1438" sqref="G1438"/>
    </sheetView>
  </sheetViews>
  <sheetFormatPr defaultRowHeight="14.25" x14ac:dyDescent="0.2"/>
  <cols>
    <col min="1" max="1" width="18.42578125" style="1" customWidth="1"/>
    <col min="2" max="2" width="64.140625" style="1" customWidth="1"/>
    <col min="3" max="3" width="14.28515625" style="31" customWidth="1"/>
    <col min="4" max="4" width="16" style="2" bestFit="1" customWidth="1"/>
    <col min="5" max="5" width="15.140625" style="2" bestFit="1" customWidth="1"/>
    <col min="6" max="6" width="17.5703125" style="2" bestFit="1" customWidth="1"/>
    <col min="7" max="7" width="15.28515625" style="2" customWidth="1"/>
    <col min="8" max="8" width="7.85546875" style="2" bestFit="1" customWidth="1"/>
    <col min="9" max="9" width="16.7109375" style="80" customWidth="1"/>
    <col min="10" max="10" width="19.28515625" style="175" customWidth="1"/>
    <col min="11" max="11" width="18.140625" style="175" customWidth="1"/>
    <col min="12" max="12" width="18.28515625" style="175" customWidth="1"/>
    <col min="13" max="13" width="9.85546875" style="1" bestFit="1" customWidth="1"/>
    <col min="14" max="16384" width="9.140625" style="1"/>
  </cols>
  <sheetData>
    <row r="1" spans="1:12" s="3" customFormat="1" ht="15.75" thickBot="1" x14ac:dyDescent="0.3">
      <c r="A1" s="311" t="s">
        <v>1011</v>
      </c>
      <c r="B1" s="311"/>
      <c r="C1" s="26"/>
      <c r="D1" s="4"/>
      <c r="E1" s="4"/>
      <c r="F1" s="4"/>
      <c r="G1" s="4"/>
      <c r="H1" s="4"/>
      <c r="I1" s="78"/>
      <c r="J1" s="164"/>
      <c r="K1" s="164"/>
      <c r="L1" s="164"/>
    </row>
    <row r="2" spans="1:12" s="3" customFormat="1" ht="45.75" thickBot="1" x14ac:dyDescent="0.3">
      <c r="A2" s="13" t="s">
        <v>0</v>
      </c>
      <c r="B2" s="14" t="s">
        <v>1</v>
      </c>
      <c r="C2" s="27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5" t="s">
        <v>7</v>
      </c>
      <c r="I2" s="79" t="s">
        <v>999</v>
      </c>
      <c r="J2" s="165" t="s">
        <v>1000</v>
      </c>
      <c r="K2" s="166" t="s">
        <v>1090</v>
      </c>
      <c r="L2" s="165" t="s">
        <v>1091</v>
      </c>
    </row>
    <row r="3" spans="1:12" s="3" customFormat="1" ht="15" x14ac:dyDescent="0.25">
      <c r="A3" s="22"/>
      <c r="B3" s="23" t="s">
        <v>8</v>
      </c>
      <c r="C3" s="235"/>
      <c r="D3" s="25"/>
      <c r="E3" s="24"/>
      <c r="F3" s="25"/>
      <c r="G3" s="24"/>
      <c r="H3" s="25"/>
      <c r="I3" s="237"/>
      <c r="J3" s="167"/>
      <c r="K3" s="245"/>
      <c r="L3" s="167"/>
    </row>
    <row r="4" spans="1:12" s="3" customFormat="1" ht="15" x14ac:dyDescent="0.25">
      <c r="A4" s="18"/>
      <c r="B4" s="19"/>
      <c r="C4" s="28"/>
      <c r="D4" s="21"/>
      <c r="E4" s="20"/>
      <c r="F4" s="21"/>
      <c r="G4" s="20"/>
      <c r="H4" s="21"/>
      <c r="I4" s="238"/>
      <c r="J4" s="168"/>
      <c r="K4" s="178"/>
      <c r="L4" s="168"/>
    </row>
    <row r="5" spans="1:12" s="3" customFormat="1" ht="15" x14ac:dyDescent="0.25">
      <c r="A5" s="18"/>
      <c r="B5" s="19" t="s">
        <v>9</v>
      </c>
      <c r="C5" s="28"/>
      <c r="D5" s="21"/>
      <c r="E5" s="20"/>
      <c r="F5" s="21"/>
      <c r="G5" s="20"/>
      <c r="H5" s="21"/>
      <c r="I5" s="238"/>
      <c r="J5" s="168"/>
      <c r="K5" s="178"/>
      <c r="L5" s="168"/>
    </row>
    <row r="6" spans="1:12" s="3" customFormat="1" ht="15" x14ac:dyDescent="0.25">
      <c r="A6" s="18"/>
      <c r="B6" s="19" t="s">
        <v>10</v>
      </c>
      <c r="C6" s="28"/>
      <c r="D6" s="21"/>
      <c r="E6" s="20"/>
      <c r="F6" s="21"/>
      <c r="G6" s="20"/>
      <c r="H6" s="21"/>
      <c r="I6" s="238"/>
      <c r="J6" s="168"/>
      <c r="K6" s="178"/>
      <c r="L6" s="168"/>
    </row>
    <row r="7" spans="1:12" s="3" customFormat="1" ht="15" x14ac:dyDescent="0.25">
      <c r="A7" s="18"/>
      <c r="B7" s="19" t="s">
        <v>11</v>
      </c>
      <c r="C7" s="28"/>
      <c r="D7" s="21"/>
      <c r="E7" s="20"/>
      <c r="F7" s="21"/>
      <c r="G7" s="20"/>
      <c r="H7" s="21"/>
      <c r="I7" s="238"/>
      <c r="J7" s="168"/>
      <c r="K7" s="178"/>
      <c r="L7" s="168"/>
    </row>
    <row r="8" spans="1:12" s="3" customFormat="1" ht="15" x14ac:dyDescent="0.25">
      <c r="A8" s="18"/>
      <c r="B8" s="19"/>
      <c r="C8" s="28"/>
      <c r="D8" s="21"/>
      <c r="E8" s="20"/>
      <c r="F8" s="21"/>
      <c r="G8" s="20"/>
      <c r="H8" s="21"/>
      <c r="I8" s="238"/>
      <c r="J8" s="168"/>
      <c r="K8" s="178"/>
      <c r="L8" s="168"/>
    </row>
    <row r="9" spans="1:12" x14ac:dyDescent="0.2">
      <c r="A9" s="5" t="s">
        <v>12</v>
      </c>
      <c r="B9" s="7" t="s">
        <v>13</v>
      </c>
      <c r="C9" s="29">
        <f>C372+C516+C630+C709+C785+C931+C1098+C1245+C1362</f>
        <v>2905720</v>
      </c>
      <c r="D9" s="37">
        <f>D372+D516+D630+D709+D785+D931+D1098+D1245+D1362</f>
        <v>175515.16999999998</v>
      </c>
      <c r="E9" s="29">
        <f>E372+E516+E630+E709+E785+E931+E1098+E1245+E1362</f>
        <v>0</v>
      </c>
      <c r="F9" s="37">
        <f>F372+F516+F630+F709+F785+F931+F1098+F1245+F1362</f>
        <v>1146930.67</v>
      </c>
      <c r="G9" s="29">
        <f>G372+G516+G630+G709+G785+G931+G1098+G1245+G1362</f>
        <v>1758789.3299999998</v>
      </c>
      <c r="H9" s="11">
        <f>E9+F9/C9*100</f>
        <v>39.471479357956028</v>
      </c>
      <c r="I9" s="239">
        <f>I372+I516+I630+I709+I785+I931+I1098+I1245+I1362</f>
        <v>0</v>
      </c>
      <c r="J9" s="116">
        <f>C9+I9</f>
        <v>2905720</v>
      </c>
      <c r="K9" s="246">
        <f>K372+K516+K630+K709+K785+K931+K1098+K1245+K1362</f>
        <v>3080063.2000000007</v>
      </c>
      <c r="L9" s="116">
        <f>L372+L516+L630+L709+L785+L931+L1098+L1245+L1362</f>
        <v>3279682.6544000003</v>
      </c>
    </row>
    <row r="10" spans="1:12" x14ac:dyDescent="0.2">
      <c r="A10" s="5" t="s">
        <v>14</v>
      </c>
      <c r="B10" s="7" t="s">
        <v>15</v>
      </c>
      <c r="C10" s="29">
        <f>C373+C517+C631+C786+C932+C1099+C1246+C1363</f>
        <v>125281</v>
      </c>
      <c r="D10" s="37">
        <f>D373+D517+D631+D786+D932+D1099+D1246+D1363</f>
        <v>7700</v>
      </c>
      <c r="E10" s="29">
        <f>E373+E517+E631+E786+E932+E1099+E1246+E1363</f>
        <v>0</v>
      </c>
      <c r="F10" s="37">
        <f>F373+F517+F631+F786+F932+F1099+F1246+F1363</f>
        <v>40900</v>
      </c>
      <c r="G10" s="29">
        <f>G373+G517+G631+G786+G932+G1099+G1246+G1363</f>
        <v>84381</v>
      </c>
      <c r="H10" s="11">
        <f t="shared" ref="H10:H26" si="0">E10+F10/C10*100</f>
        <v>32.646610419776344</v>
      </c>
      <c r="I10" s="76">
        <f>I373+I517+I631+I786+I932+I1099+I1246+I1363</f>
        <v>-20650.399999999998</v>
      </c>
      <c r="J10" s="116">
        <f t="shared" ref="J10:J26" si="1">C10+I10</f>
        <v>104630.6</v>
      </c>
      <c r="K10" s="246">
        <f>K373+K517+K631+K786+K932+K1099+K1246+K1363</f>
        <v>110908.436</v>
      </c>
      <c r="L10" s="116">
        <f>L373+L517+L631+L786+L932+L1099+L1246+L1363</f>
        <v>117562.94216000001</v>
      </c>
    </row>
    <row r="11" spans="1:12" x14ac:dyDescent="0.2">
      <c r="A11" s="5" t="s">
        <v>16</v>
      </c>
      <c r="B11" s="7" t="s">
        <v>17</v>
      </c>
      <c r="C11" s="29">
        <f>C374+C518+C632+C710+C787+C933+C1100+C1247+C1364</f>
        <v>313848</v>
      </c>
      <c r="D11" s="11">
        <v>33731.82</v>
      </c>
      <c r="E11" s="9">
        <v>0</v>
      </c>
      <c r="F11" s="11">
        <v>202390.92</v>
      </c>
      <c r="G11" s="9">
        <f t="shared" ref="G11:G55" si="2">C11-E11-F11</f>
        <v>111457.07999999999</v>
      </c>
      <c r="H11" s="11">
        <f t="shared" si="0"/>
        <v>64.486923606331743</v>
      </c>
      <c r="I11" s="240">
        <f>I374+I518+I632+I710+I787+I933+I1100+I1247+I1364</f>
        <v>84711.779999999984</v>
      </c>
      <c r="J11" s="116">
        <f t="shared" si="1"/>
        <v>398559.77999999997</v>
      </c>
      <c r="K11" s="229">
        <f t="shared" ref="K11:L13" si="3">K374+K518+K632+K710+K787+K933+K1100+K1247+K1364</f>
        <v>422473.36680000002</v>
      </c>
      <c r="L11" s="109">
        <f t="shared" si="3"/>
        <v>447821.76880799996</v>
      </c>
    </row>
    <row r="12" spans="1:12" x14ac:dyDescent="0.2">
      <c r="A12" s="5" t="s">
        <v>18</v>
      </c>
      <c r="B12" s="7" t="s">
        <v>19</v>
      </c>
      <c r="C12" s="29">
        <f>C375+C519+C633+C711+C788+C934+C1101+C1248+C1365</f>
        <v>1226000</v>
      </c>
      <c r="D12" s="11">
        <v>196952.94</v>
      </c>
      <c r="E12" s="9">
        <v>0</v>
      </c>
      <c r="F12" s="11">
        <v>846505.37</v>
      </c>
      <c r="G12" s="9">
        <f t="shared" si="2"/>
        <v>379494.63</v>
      </c>
      <c r="H12" s="11">
        <f t="shared" si="0"/>
        <v>69.046115008156605</v>
      </c>
      <c r="I12" s="240">
        <f>I375+I519+I633+I711+I788+I934+I1101+I1248+I1365</f>
        <v>496000</v>
      </c>
      <c r="J12" s="116">
        <f t="shared" si="1"/>
        <v>1722000</v>
      </c>
      <c r="K12" s="229">
        <f t="shared" si="3"/>
        <v>1825320</v>
      </c>
      <c r="L12" s="109">
        <f t="shared" si="3"/>
        <v>1935687.2000000002</v>
      </c>
    </row>
    <row r="13" spans="1:12" x14ac:dyDescent="0.2">
      <c r="A13" s="5" t="s">
        <v>20</v>
      </c>
      <c r="B13" s="7" t="s">
        <v>21</v>
      </c>
      <c r="C13" s="29">
        <f>C376+C520+C634+C712+C789+C935+C1102+C1249+C1366</f>
        <v>681000</v>
      </c>
      <c r="D13" s="11">
        <v>114311.54</v>
      </c>
      <c r="E13" s="9">
        <v>0</v>
      </c>
      <c r="F13" s="11">
        <v>484680.69</v>
      </c>
      <c r="G13" s="9">
        <f t="shared" si="2"/>
        <v>196319.31</v>
      </c>
      <c r="H13" s="11">
        <f t="shared" si="0"/>
        <v>71.17190748898679</v>
      </c>
      <c r="I13" s="240">
        <f>I376+I520+I634+I712+I789+I935+I1102+I1249+I1366</f>
        <v>241000</v>
      </c>
      <c r="J13" s="116">
        <f t="shared" si="1"/>
        <v>922000</v>
      </c>
      <c r="K13" s="229">
        <f t="shared" si="3"/>
        <v>977320</v>
      </c>
      <c r="L13" s="109">
        <f t="shared" si="3"/>
        <v>1046559.2</v>
      </c>
    </row>
    <row r="14" spans="1:12" x14ac:dyDescent="0.2">
      <c r="A14" s="5" t="s">
        <v>23</v>
      </c>
      <c r="B14" s="7" t="s">
        <v>24</v>
      </c>
      <c r="C14" s="29">
        <f>C377+C521+C635+C713+C790+C936+C1104+C1251+C1368</f>
        <v>1004232</v>
      </c>
      <c r="D14" s="11">
        <v>76182.78</v>
      </c>
      <c r="E14" s="9">
        <v>0</v>
      </c>
      <c r="F14" s="11">
        <v>433596.68</v>
      </c>
      <c r="G14" s="9">
        <f t="shared" si="2"/>
        <v>570635.32000000007</v>
      </c>
      <c r="H14" s="11">
        <f t="shared" si="0"/>
        <v>43.176943176477153</v>
      </c>
      <c r="I14" s="240">
        <f>I377+I521+I635+I713+I790+I936+I1104+I1251+I1368</f>
        <v>136302.78</v>
      </c>
      <c r="J14" s="116">
        <f t="shared" si="1"/>
        <v>1140534.78</v>
      </c>
      <c r="K14" s="229">
        <f>K377+K521+K635+K713+K790+K936+K1104+K1251+K1368</f>
        <v>1208966.8668</v>
      </c>
      <c r="L14" s="109">
        <f>L377+L521+L635+L713+L790+L936+L1104+L1251+L1368</f>
        <v>1282666.9780079997</v>
      </c>
    </row>
    <row r="15" spans="1:12" x14ac:dyDescent="0.2">
      <c r="A15" s="5" t="s">
        <v>25</v>
      </c>
      <c r="B15" s="7" t="s">
        <v>26</v>
      </c>
      <c r="C15" s="29">
        <f>C378</f>
        <v>50000</v>
      </c>
      <c r="D15" s="11">
        <v>0</v>
      </c>
      <c r="E15" s="9">
        <v>0</v>
      </c>
      <c r="F15" s="11">
        <v>0</v>
      </c>
      <c r="G15" s="9">
        <f t="shared" si="2"/>
        <v>50000</v>
      </c>
      <c r="H15" s="11">
        <f t="shared" si="0"/>
        <v>0</v>
      </c>
      <c r="I15" s="240">
        <f>I378</f>
        <v>-50000</v>
      </c>
      <c r="J15" s="116">
        <f t="shared" si="1"/>
        <v>0</v>
      </c>
      <c r="K15" s="229">
        <f>K378</f>
        <v>0</v>
      </c>
      <c r="L15" s="109">
        <f>L378</f>
        <v>0</v>
      </c>
    </row>
    <row r="16" spans="1:12" x14ac:dyDescent="0.2">
      <c r="A16" s="5" t="s">
        <v>27</v>
      </c>
      <c r="B16" s="7" t="s">
        <v>28</v>
      </c>
      <c r="C16" s="29">
        <f>C379+C522+C636+C715+C791+C937+C1106+C1253+C1370</f>
        <v>141405</v>
      </c>
      <c r="D16" s="11">
        <v>0</v>
      </c>
      <c r="E16" s="9">
        <v>0</v>
      </c>
      <c r="F16" s="11">
        <v>38524.51</v>
      </c>
      <c r="G16" s="9">
        <f t="shared" si="2"/>
        <v>102880.48999999999</v>
      </c>
      <c r="H16" s="11">
        <f t="shared" si="0"/>
        <v>27.244093207453769</v>
      </c>
      <c r="I16" s="240">
        <f>I379+I522+I636+I791+I937+I1106+I1253+I1370</f>
        <v>-85915</v>
      </c>
      <c r="J16" s="116">
        <f t="shared" si="1"/>
        <v>55490</v>
      </c>
      <c r="K16" s="229">
        <f>K379+K522+K636+K791+K937+K1106+K1253+K1370</f>
        <v>58819.4</v>
      </c>
      <c r="L16" s="109">
        <f>L379+L522+L636+L791+L937+L1106+L1253+L1370</f>
        <v>62348.564000000006</v>
      </c>
    </row>
    <row r="17" spans="1:12" x14ac:dyDescent="0.2">
      <c r="A17" s="5" t="s">
        <v>29</v>
      </c>
      <c r="B17" s="7" t="s">
        <v>30</v>
      </c>
      <c r="C17" s="29">
        <v>317900</v>
      </c>
      <c r="D17" s="11">
        <v>11046.25</v>
      </c>
      <c r="E17" s="9">
        <v>0</v>
      </c>
      <c r="F17" s="11">
        <v>55920.69</v>
      </c>
      <c r="G17" s="9">
        <f t="shared" si="2"/>
        <v>261979.31</v>
      </c>
      <c r="H17" s="11">
        <f t="shared" si="0"/>
        <v>17.590654293803084</v>
      </c>
      <c r="I17" s="240">
        <f>I380</f>
        <v>-50000</v>
      </c>
      <c r="J17" s="116">
        <f t="shared" si="1"/>
        <v>267900</v>
      </c>
      <c r="K17" s="229">
        <f>K380</f>
        <v>53000</v>
      </c>
      <c r="L17" s="109">
        <f>L380</f>
        <v>56180</v>
      </c>
    </row>
    <row r="18" spans="1:12" x14ac:dyDescent="0.2">
      <c r="A18" s="5" t="s">
        <v>31</v>
      </c>
      <c r="B18" s="7" t="s">
        <v>32</v>
      </c>
      <c r="C18" s="29">
        <v>41234663</v>
      </c>
      <c r="D18" s="11">
        <v>3238223.67</v>
      </c>
      <c r="E18" s="9">
        <v>0</v>
      </c>
      <c r="F18" s="11">
        <v>19397004.079999998</v>
      </c>
      <c r="G18" s="9">
        <f t="shared" si="2"/>
        <v>21837658.920000002</v>
      </c>
      <c r="H18" s="11">
        <f t="shared" si="0"/>
        <v>47.040530148142587</v>
      </c>
      <c r="I18" s="240">
        <f>I381+I524+I638+I714+I793+I939+I1108+I1255+I1372</f>
        <v>0</v>
      </c>
      <c r="J18" s="116">
        <f t="shared" si="1"/>
        <v>41234663</v>
      </c>
      <c r="K18" s="229">
        <f>K381+K524+K638+K714+K793+K939+K1108+K1255+K1372</f>
        <v>43708742.779999994</v>
      </c>
      <c r="L18" s="109">
        <f>L381+L524+L638+L714+L793+L939+L1108+L1255+L1372</f>
        <v>46509055.168400005</v>
      </c>
    </row>
    <row r="19" spans="1:12" x14ac:dyDescent="0.2">
      <c r="A19" s="5" t="s">
        <v>33</v>
      </c>
      <c r="B19" s="7" t="s">
        <v>34</v>
      </c>
      <c r="C19" s="29">
        <v>170000</v>
      </c>
      <c r="D19" s="11">
        <v>12521.76</v>
      </c>
      <c r="E19" s="9">
        <v>0</v>
      </c>
      <c r="F19" s="11">
        <v>81391.44</v>
      </c>
      <c r="G19" s="9">
        <f t="shared" si="2"/>
        <v>88608.56</v>
      </c>
      <c r="H19" s="11">
        <f t="shared" si="0"/>
        <v>47.877317647058824</v>
      </c>
      <c r="I19" s="240">
        <f>I1109+I1256</f>
        <v>12000</v>
      </c>
      <c r="J19" s="116">
        <f t="shared" si="1"/>
        <v>182000</v>
      </c>
      <c r="K19" s="229">
        <f>K1109+K1256</f>
        <v>192920</v>
      </c>
      <c r="L19" s="109">
        <f>L1109+L1256</f>
        <v>204495.2</v>
      </c>
    </row>
    <row r="20" spans="1:12" x14ac:dyDescent="0.2">
      <c r="A20" s="5" t="s">
        <v>35</v>
      </c>
      <c r="B20" s="7" t="s">
        <v>36</v>
      </c>
      <c r="C20" s="29">
        <v>3844729</v>
      </c>
      <c r="D20" s="11">
        <v>290256.59999999998</v>
      </c>
      <c r="E20" s="9">
        <v>0</v>
      </c>
      <c r="F20" s="11">
        <v>1724560.28</v>
      </c>
      <c r="G20" s="9">
        <f t="shared" si="2"/>
        <v>2120168.7199999997</v>
      </c>
      <c r="H20" s="11">
        <f t="shared" si="0"/>
        <v>44.855184331587481</v>
      </c>
      <c r="I20" s="240">
        <f>I382+I525+I639+I716+I794+I940+I1110+I1257+I1374</f>
        <v>-96827.45</v>
      </c>
      <c r="J20" s="116">
        <f t="shared" si="1"/>
        <v>3747901.55</v>
      </c>
      <c r="K20" s="229">
        <f>K382+K525+K639+K716+K794+K940+K1110+K1257+K1374</f>
        <v>3972775.6429999997</v>
      </c>
      <c r="L20" s="109">
        <f>L382+L525+L639+L716+L794+L940+L1110+L1257+L1374</f>
        <v>4216923.1671799999</v>
      </c>
    </row>
    <row r="21" spans="1:12" x14ac:dyDescent="0.2">
      <c r="A21" s="5" t="s">
        <v>37</v>
      </c>
      <c r="B21" s="7" t="s">
        <v>38</v>
      </c>
      <c r="C21" s="29">
        <v>536488</v>
      </c>
      <c r="D21" s="11">
        <v>27039.99</v>
      </c>
      <c r="E21" s="9">
        <v>0</v>
      </c>
      <c r="F21" s="11">
        <v>216000.31</v>
      </c>
      <c r="G21" s="9">
        <f t="shared" si="2"/>
        <v>320487.69</v>
      </c>
      <c r="H21" s="11">
        <f t="shared" si="0"/>
        <v>40.261908933657416</v>
      </c>
      <c r="I21" s="240">
        <f>I795</f>
        <v>-113096</v>
      </c>
      <c r="J21" s="116">
        <f t="shared" si="1"/>
        <v>423392</v>
      </c>
      <c r="K21" s="229">
        <f>K640+K795</f>
        <v>500000</v>
      </c>
      <c r="L21" s="229">
        <f>L640+L795</f>
        <v>500000</v>
      </c>
    </row>
    <row r="22" spans="1:12" x14ac:dyDescent="0.2">
      <c r="A22" s="5" t="s">
        <v>39</v>
      </c>
      <c r="B22" s="7" t="s">
        <v>40</v>
      </c>
      <c r="C22" s="29">
        <v>21600</v>
      </c>
      <c r="D22" s="11">
        <v>9250</v>
      </c>
      <c r="E22" s="9">
        <v>0</v>
      </c>
      <c r="F22" s="11">
        <v>41500</v>
      </c>
      <c r="G22" s="9">
        <f t="shared" si="2"/>
        <v>-19900</v>
      </c>
      <c r="H22" s="11">
        <f t="shared" si="0"/>
        <v>192.12962962962962</v>
      </c>
      <c r="I22" s="240">
        <f>I941</f>
        <v>30672</v>
      </c>
      <c r="J22" s="116">
        <f t="shared" si="1"/>
        <v>52272</v>
      </c>
      <c r="K22" s="229">
        <f>K941</f>
        <v>55408.32</v>
      </c>
      <c r="L22" s="109">
        <f>L941</f>
        <v>58732.819199999998</v>
      </c>
    </row>
    <row r="23" spans="1:12" x14ac:dyDescent="0.2">
      <c r="A23" s="5" t="s">
        <v>41</v>
      </c>
      <c r="B23" s="7" t="s">
        <v>42</v>
      </c>
      <c r="C23" s="29">
        <v>1240209</v>
      </c>
      <c r="D23" s="11">
        <v>109641.02</v>
      </c>
      <c r="E23" s="9">
        <v>0</v>
      </c>
      <c r="F23" s="11">
        <v>631830.30000000005</v>
      </c>
      <c r="G23" s="9">
        <f t="shared" si="2"/>
        <v>608378.69999999995</v>
      </c>
      <c r="H23" s="11">
        <f t="shared" si="0"/>
        <v>50.945469674869315</v>
      </c>
      <c r="I23" s="240">
        <f>I1111</f>
        <v>56795</v>
      </c>
      <c r="J23" s="116">
        <f t="shared" si="1"/>
        <v>1297004</v>
      </c>
      <c r="K23" s="240">
        <f>K1111</f>
        <v>1374824.24</v>
      </c>
      <c r="L23" s="240">
        <f>L1111</f>
        <v>1457313.6943999999</v>
      </c>
    </row>
    <row r="24" spans="1:12" x14ac:dyDescent="0.2">
      <c r="A24" s="5" t="s">
        <v>43</v>
      </c>
      <c r="B24" s="7" t="s">
        <v>44</v>
      </c>
      <c r="C24" s="29">
        <v>219698</v>
      </c>
      <c r="D24" s="11">
        <v>0</v>
      </c>
      <c r="E24" s="9">
        <v>0</v>
      </c>
      <c r="F24" s="11">
        <v>15563.83</v>
      </c>
      <c r="G24" s="9">
        <f t="shared" si="2"/>
        <v>204134.17</v>
      </c>
      <c r="H24" s="11">
        <f t="shared" si="0"/>
        <v>7.0841928465438926</v>
      </c>
      <c r="I24" s="240">
        <f>I383</f>
        <v>-150000</v>
      </c>
      <c r="J24" s="116">
        <f t="shared" si="1"/>
        <v>69698</v>
      </c>
      <c r="K24" s="229">
        <f>K383</f>
        <v>73879.88</v>
      </c>
      <c r="L24" s="109">
        <f>L383</f>
        <v>78312.6728</v>
      </c>
    </row>
    <row r="25" spans="1:12" x14ac:dyDescent="0.2">
      <c r="A25" s="5" t="s">
        <v>45</v>
      </c>
      <c r="B25" s="7" t="s">
        <v>46</v>
      </c>
      <c r="C25" s="29">
        <v>6420</v>
      </c>
      <c r="D25" s="11">
        <v>0</v>
      </c>
      <c r="E25" s="9">
        <v>0</v>
      </c>
      <c r="F25" s="11">
        <v>6000</v>
      </c>
      <c r="G25" s="9">
        <f t="shared" si="2"/>
        <v>420</v>
      </c>
      <c r="H25" s="11">
        <f t="shared" si="0"/>
        <v>93.45794392523365</v>
      </c>
      <c r="I25" s="240">
        <f>I718</f>
        <v>-420</v>
      </c>
      <c r="J25" s="116">
        <f t="shared" si="1"/>
        <v>6000</v>
      </c>
      <c r="K25" s="229">
        <f>K718</f>
        <v>6360</v>
      </c>
      <c r="L25" s="109">
        <f>L718</f>
        <v>6741.6</v>
      </c>
    </row>
    <row r="26" spans="1:12" x14ac:dyDescent="0.2">
      <c r="A26" s="5" t="s">
        <v>47</v>
      </c>
      <c r="B26" s="7" t="s">
        <v>48</v>
      </c>
      <c r="C26" s="29">
        <v>250000</v>
      </c>
      <c r="D26" s="11">
        <v>0</v>
      </c>
      <c r="E26" s="9">
        <v>0</v>
      </c>
      <c r="F26" s="11">
        <v>0</v>
      </c>
      <c r="G26" s="9">
        <f t="shared" si="2"/>
        <v>250000</v>
      </c>
      <c r="H26" s="11">
        <f t="shared" si="0"/>
        <v>0</v>
      </c>
      <c r="I26" s="240">
        <f>I384</f>
        <v>-250000</v>
      </c>
      <c r="J26" s="116">
        <f t="shared" si="1"/>
        <v>0</v>
      </c>
      <c r="K26" s="229">
        <f>K384</f>
        <v>0</v>
      </c>
      <c r="L26" s="109">
        <f>L384</f>
        <v>0</v>
      </c>
    </row>
    <row r="27" spans="1:12" x14ac:dyDescent="0.2">
      <c r="A27" s="5"/>
      <c r="B27" s="7"/>
      <c r="C27" s="29"/>
      <c r="D27" s="11"/>
      <c r="E27" s="9"/>
      <c r="F27" s="11"/>
      <c r="G27" s="9">
        <f t="shared" si="2"/>
        <v>0</v>
      </c>
      <c r="H27" s="11">
        <v>0</v>
      </c>
      <c r="I27" s="240"/>
      <c r="J27" s="162"/>
      <c r="K27" s="169"/>
      <c r="L27" s="162"/>
    </row>
    <row r="28" spans="1:12" s="3" customFormat="1" ht="15" x14ac:dyDescent="0.25">
      <c r="A28" s="18"/>
      <c r="B28" s="19" t="s">
        <v>49</v>
      </c>
      <c r="C28" s="28">
        <f>SUM(C9:C27)</f>
        <v>54289193</v>
      </c>
      <c r="D28" s="21">
        <f>SUM(D9:D27)</f>
        <v>4302373.54</v>
      </c>
      <c r="E28" s="20">
        <f>SUM(E9:E27)</f>
        <v>0</v>
      </c>
      <c r="F28" s="21">
        <f>SUM(F9:F27)</f>
        <v>25363299.77</v>
      </c>
      <c r="G28" s="9">
        <f t="shared" si="2"/>
        <v>28925893.23</v>
      </c>
      <c r="H28" s="21">
        <v>46.71</v>
      </c>
      <c r="I28" s="238">
        <f>SUM(I9:I27)</f>
        <v>240572.71000000008</v>
      </c>
      <c r="J28" s="168">
        <f>SUM(J9:J27)</f>
        <v>54529765.709999993</v>
      </c>
      <c r="K28" s="178">
        <f>SUM(K9:K27)</f>
        <v>57621782.132600002</v>
      </c>
      <c r="L28" s="168">
        <f>SUM(L9:L27)</f>
        <v>61260083.629356004</v>
      </c>
    </row>
    <row r="29" spans="1:12" x14ac:dyDescent="0.2">
      <c r="A29" s="5"/>
      <c r="B29" s="7"/>
      <c r="C29" s="29"/>
      <c r="D29" s="11"/>
      <c r="E29" s="9"/>
      <c r="F29" s="11"/>
      <c r="G29" s="9">
        <f t="shared" si="2"/>
        <v>0</v>
      </c>
      <c r="H29" s="11"/>
      <c r="I29" s="240"/>
      <c r="J29" s="162"/>
      <c r="K29" s="169"/>
      <c r="L29" s="162"/>
    </row>
    <row r="30" spans="1:12" s="3" customFormat="1" ht="15" x14ac:dyDescent="0.25">
      <c r="A30" s="18"/>
      <c r="B30" s="19" t="s">
        <v>50</v>
      </c>
      <c r="C30" s="28"/>
      <c r="D30" s="21"/>
      <c r="E30" s="20"/>
      <c r="F30" s="21"/>
      <c r="G30" s="9">
        <f t="shared" si="2"/>
        <v>0</v>
      </c>
      <c r="H30" s="21"/>
      <c r="I30" s="238"/>
      <c r="J30" s="168"/>
      <c r="K30" s="178"/>
      <c r="L30" s="168"/>
    </row>
    <row r="31" spans="1:12" x14ac:dyDescent="0.2">
      <c r="A31" s="5"/>
      <c r="B31" s="7"/>
      <c r="C31" s="29"/>
      <c r="D31" s="11"/>
      <c r="E31" s="9"/>
      <c r="F31" s="11"/>
      <c r="G31" s="9">
        <f t="shared" si="2"/>
        <v>0</v>
      </c>
      <c r="H31" s="11"/>
      <c r="I31" s="240"/>
      <c r="J31" s="162"/>
      <c r="K31" s="169"/>
      <c r="L31" s="162"/>
    </row>
    <row r="32" spans="1:12" x14ac:dyDescent="0.2">
      <c r="A32" s="5" t="s">
        <v>52</v>
      </c>
      <c r="B32" s="7" t="s">
        <v>53</v>
      </c>
      <c r="C32" s="29">
        <v>12879</v>
      </c>
      <c r="D32" s="11">
        <v>1123.75</v>
      </c>
      <c r="E32" s="9">
        <v>0</v>
      </c>
      <c r="F32" s="11">
        <v>6771.5</v>
      </c>
      <c r="G32" s="9">
        <f t="shared" si="2"/>
        <v>6107.5</v>
      </c>
      <c r="H32" s="11">
        <f t="shared" ref="H32:H36" si="4">E32+F32/C32*100</f>
        <v>52.577839894401734</v>
      </c>
      <c r="I32" s="240">
        <f>I390+I531+I646+I725+I804+I950+I1120+I1266+I1383</f>
        <v>192</v>
      </c>
      <c r="J32" s="109">
        <f>C32+I32</f>
        <v>13071</v>
      </c>
      <c r="K32" s="229">
        <f t="shared" ref="K32:L35" si="5">K390+K531+K646+K725+K804+K950+K1120+K1266+K1383</f>
        <v>13855.259999999998</v>
      </c>
      <c r="L32" s="109">
        <f t="shared" si="5"/>
        <v>14767.347599999997</v>
      </c>
    </row>
    <row r="33" spans="1:12" x14ac:dyDescent="0.2">
      <c r="A33" s="5" t="s">
        <v>54</v>
      </c>
      <c r="B33" s="7" t="s">
        <v>55</v>
      </c>
      <c r="C33" s="29">
        <v>252860</v>
      </c>
      <c r="D33" s="11">
        <v>21290.400000000001</v>
      </c>
      <c r="E33" s="9">
        <v>0</v>
      </c>
      <c r="F33" s="11">
        <v>128344.71</v>
      </c>
      <c r="G33" s="9">
        <f t="shared" si="2"/>
        <v>124515.29</v>
      </c>
      <c r="H33" s="11">
        <f t="shared" si="4"/>
        <v>50.757221387328954</v>
      </c>
      <c r="I33" s="240">
        <f>I391+I532+I647+I726+I805+I951+I1121+I1267+I1384</f>
        <v>2656</v>
      </c>
      <c r="J33" s="109">
        <f t="shared" ref="J33:J36" si="6">C33+I33</f>
        <v>255516</v>
      </c>
      <c r="K33" s="229">
        <f t="shared" si="5"/>
        <v>270846.96000000002</v>
      </c>
      <c r="L33" s="109">
        <f t="shared" si="5"/>
        <v>288636.00719999999</v>
      </c>
    </row>
    <row r="34" spans="1:12" x14ac:dyDescent="0.2">
      <c r="A34" s="5" t="s">
        <v>56</v>
      </c>
      <c r="B34" s="7" t="s">
        <v>57</v>
      </c>
      <c r="C34" s="29">
        <v>3073982</v>
      </c>
      <c r="D34" s="11">
        <v>203290.8</v>
      </c>
      <c r="E34" s="9">
        <v>0</v>
      </c>
      <c r="F34" s="11">
        <v>1192475.6200000001</v>
      </c>
      <c r="G34" s="9">
        <f t="shared" si="2"/>
        <v>1881506.38</v>
      </c>
      <c r="H34" s="11">
        <f t="shared" si="4"/>
        <v>38.792537496966482</v>
      </c>
      <c r="I34" s="240">
        <f>I392+I533+I648+I727+I806+I952+I1122+I1268+I1385</f>
        <v>20157.099999999999</v>
      </c>
      <c r="J34" s="109">
        <f t="shared" si="6"/>
        <v>3094139.1</v>
      </c>
      <c r="K34" s="229">
        <f t="shared" si="5"/>
        <v>3279787.4459999995</v>
      </c>
      <c r="L34" s="109">
        <f t="shared" si="5"/>
        <v>3486545.8159599998</v>
      </c>
    </row>
    <row r="35" spans="1:12" x14ac:dyDescent="0.2">
      <c r="A35" s="5" t="s">
        <v>58</v>
      </c>
      <c r="B35" s="7" t="s">
        <v>59</v>
      </c>
      <c r="C35" s="29">
        <v>7601570</v>
      </c>
      <c r="D35" s="11">
        <v>563943.88</v>
      </c>
      <c r="E35" s="9">
        <v>0</v>
      </c>
      <c r="F35" s="11">
        <v>3380617.88</v>
      </c>
      <c r="G35" s="9">
        <f t="shared" si="2"/>
        <v>4220952.12</v>
      </c>
      <c r="H35" s="11">
        <f t="shared" si="4"/>
        <v>44.472627102032867</v>
      </c>
      <c r="I35" s="240">
        <f>I393+I534+I649+I728+I807+I953+I1123+I1269+I1386</f>
        <v>-99342.75</v>
      </c>
      <c r="J35" s="109">
        <f t="shared" si="6"/>
        <v>7502227.25</v>
      </c>
      <c r="K35" s="229">
        <f t="shared" si="5"/>
        <v>7952360.8849999998</v>
      </c>
      <c r="L35" s="109">
        <f t="shared" si="5"/>
        <v>8468280.0517000016</v>
      </c>
    </row>
    <row r="36" spans="1:12" x14ac:dyDescent="0.2">
      <c r="A36" s="5" t="s">
        <v>61</v>
      </c>
      <c r="B36" s="7" t="s">
        <v>62</v>
      </c>
      <c r="C36" s="29">
        <v>824692</v>
      </c>
      <c r="D36" s="11">
        <v>46299.92</v>
      </c>
      <c r="E36" s="9">
        <v>0</v>
      </c>
      <c r="F36" s="11">
        <v>274341.36</v>
      </c>
      <c r="G36" s="9">
        <f t="shared" si="2"/>
        <v>550350.64</v>
      </c>
      <c r="H36" s="11">
        <f t="shared" si="4"/>
        <v>33.26591745766904</v>
      </c>
      <c r="I36" s="240">
        <f>I394+I535+I650+I730+I808+I955+I1125+I1271+I1388</f>
        <v>-53024.58</v>
      </c>
      <c r="J36" s="109">
        <f t="shared" si="6"/>
        <v>771667.42</v>
      </c>
      <c r="K36" s="229">
        <f>K394+K535+K650+K730+K808+K955+K1125+K1271+K1388</f>
        <v>619186.7252000001</v>
      </c>
      <c r="L36" s="109">
        <f>L394+L535+L650+L730+L808+L955+L1125+L1271+L1388</f>
        <v>659893.67751199985</v>
      </c>
    </row>
    <row r="37" spans="1:12" x14ac:dyDescent="0.2">
      <c r="A37" s="5"/>
      <c r="B37" s="7"/>
      <c r="C37" s="29"/>
      <c r="D37" s="11"/>
      <c r="E37" s="9"/>
      <c r="F37" s="11"/>
      <c r="G37" s="9"/>
      <c r="H37" s="11"/>
      <c r="I37" s="240"/>
      <c r="J37" s="162"/>
      <c r="K37" s="169"/>
      <c r="L37" s="162"/>
    </row>
    <row r="38" spans="1:12" s="3" customFormat="1" ht="15" x14ac:dyDescent="0.25">
      <c r="A38" s="18"/>
      <c r="B38" s="19" t="s">
        <v>63</v>
      </c>
      <c r="C38" s="28">
        <f>SUM(C32:C37)</f>
        <v>11765983</v>
      </c>
      <c r="D38" s="21">
        <f>SUM(D32:D37)</f>
        <v>835948.75</v>
      </c>
      <c r="E38" s="20">
        <f>SUM(E32:E37)</f>
        <v>0</v>
      </c>
      <c r="F38" s="21">
        <f>SUM(F32:F37)</f>
        <v>4982551.07</v>
      </c>
      <c r="G38" s="20">
        <f t="shared" si="2"/>
        <v>6783431.9299999997</v>
      </c>
      <c r="H38" s="21">
        <v>42.34</v>
      </c>
      <c r="I38" s="238">
        <f>SUM(I32:I37)</f>
        <v>-129362.23</v>
      </c>
      <c r="J38" s="168">
        <f>SUM(J32:J37)</f>
        <v>11636620.77</v>
      </c>
      <c r="K38" s="178">
        <f>SUM(K32:K37)</f>
        <v>12136037.276199998</v>
      </c>
      <c r="L38" s="168">
        <f>SUM(L32:L37)</f>
        <v>12918122.899972001</v>
      </c>
    </row>
    <row r="39" spans="1:12" s="3" customFormat="1" ht="15" x14ac:dyDescent="0.25">
      <c r="A39" s="18"/>
      <c r="B39" s="19"/>
      <c r="C39" s="28"/>
      <c r="D39" s="21"/>
      <c r="E39" s="20"/>
      <c r="F39" s="21"/>
      <c r="G39" s="9"/>
      <c r="H39" s="21"/>
      <c r="I39" s="238"/>
      <c r="J39" s="168"/>
      <c r="K39" s="178"/>
      <c r="L39" s="168"/>
    </row>
    <row r="40" spans="1:12" s="3" customFormat="1" ht="15" x14ac:dyDescent="0.25">
      <c r="A40" s="18"/>
      <c r="B40" s="19" t="s">
        <v>64</v>
      </c>
      <c r="C40" s="28">
        <f>C28+C38</f>
        <v>66055176</v>
      </c>
      <c r="D40" s="21">
        <f>D28+D38</f>
        <v>5138322.29</v>
      </c>
      <c r="E40" s="20">
        <f>E28+E38</f>
        <v>0</v>
      </c>
      <c r="F40" s="21">
        <f>F28+F38</f>
        <v>30345850.84</v>
      </c>
      <c r="G40" s="20">
        <f t="shared" si="2"/>
        <v>35709325.159999996</v>
      </c>
      <c r="H40" s="21">
        <v>45.94</v>
      </c>
      <c r="I40" s="238">
        <f>I28+I38</f>
        <v>111210.48000000008</v>
      </c>
      <c r="J40" s="168">
        <f>J28+J38</f>
        <v>66166386.479999989</v>
      </c>
      <c r="K40" s="178">
        <f>K28+K38</f>
        <v>69757819.408800006</v>
      </c>
      <c r="L40" s="168">
        <f>L28+L38</f>
        <v>74178206.529328004</v>
      </c>
    </row>
    <row r="41" spans="1:12" s="3" customFormat="1" ht="15" x14ac:dyDescent="0.25">
      <c r="A41" s="18"/>
      <c r="B41" s="19"/>
      <c r="C41" s="28"/>
      <c r="D41" s="21"/>
      <c r="E41" s="20"/>
      <c r="F41" s="21"/>
      <c r="G41" s="9"/>
      <c r="H41" s="21"/>
      <c r="I41" s="238"/>
      <c r="J41" s="168"/>
      <c r="K41" s="178"/>
      <c r="L41" s="168"/>
    </row>
    <row r="42" spans="1:12" s="3" customFormat="1" ht="15" x14ac:dyDescent="0.25">
      <c r="A42" s="18"/>
      <c r="B42" s="19" t="s">
        <v>65</v>
      </c>
      <c r="C42" s="28"/>
      <c r="D42" s="21"/>
      <c r="E42" s="20"/>
      <c r="F42" s="21"/>
      <c r="G42" s="9"/>
      <c r="H42" s="21"/>
      <c r="I42" s="238"/>
      <c r="J42" s="168"/>
      <c r="K42" s="178"/>
      <c r="L42" s="168"/>
    </row>
    <row r="43" spans="1:12" s="3" customFormat="1" ht="15" x14ac:dyDescent="0.25">
      <c r="A43" s="18"/>
      <c r="B43" s="19"/>
      <c r="C43" s="28"/>
      <c r="D43" s="21"/>
      <c r="E43" s="20"/>
      <c r="F43" s="21"/>
      <c r="G43" s="9"/>
      <c r="H43" s="21"/>
      <c r="I43" s="238"/>
      <c r="J43" s="168"/>
      <c r="K43" s="178"/>
      <c r="L43" s="168"/>
    </row>
    <row r="44" spans="1:12" x14ac:dyDescent="0.2">
      <c r="A44" s="5" t="s">
        <v>66</v>
      </c>
      <c r="B44" s="7" t="s">
        <v>67</v>
      </c>
      <c r="C44" s="29">
        <v>7696972</v>
      </c>
      <c r="D44" s="11">
        <v>436880.27</v>
      </c>
      <c r="E44" s="9">
        <v>0</v>
      </c>
      <c r="F44" s="11">
        <v>2621281.62</v>
      </c>
      <c r="G44" s="9">
        <f t="shared" si="2"/>
        <v>5075690.38</v>
      </c>
      <c r="H44" s="11">
        <f t="shared" ref="H44:H46" si="7">E44+F44/C44*100</f>
        <v>34.056010857256595</v>
      </c>
      <c r="I44" s="240">
        <f>I736</f>
        <v>0</v>
      </c>
      <c r="J44" s="109">
        <f>C44+I44</f>
        <v>7696972</v>
      </c>
      <c r="K44" s="229">
        <f t="shared" ref="K44:L46" si="8">K736</f>
        <v>8158790.3200000003</v>
      </c>
      <c r="L44" s="109">
        <f t="shared" si="8"/>
        <v>8648317.7391999997</v>
      </c>
    </row>
    <row r="45" spans="1:12" x14ac:dyDescent="0.2">
      <c r="A45" s="5" t="s">
        <v>68</v>
      </c>
      <c r="B45" s="7" t="s">
        <v>69</v>
      </c>
      <c r="C45" s="29">
        <v>625205</v>
      </c>
      <c r="D45" s="11">
        <v>55053</v>
      </c>
      <c r="E45" s="9">
        <v>0</v>
      </c>
      <c r="F45" s="11">
        <v>330318</v>
      </c>
      <c r="G45" s="9">
        <f t="shared" si="2"/>
        <v>294887</v>
      </c>
      <c r="H45" s="11">
        <f t="shared" si="7"/>
        <v>52.833550595404709</v>
      </c>
      <c r="I45" s="240">
        <f>I737</f>
        <v>0</v>
      </c>
      <c r="J45" s="109">
        <f t="shared" ref="J45:J46" si="9">C45+I45</f>
        <v>625205</v>
      </c>
      <c r="K45" s="229">
        <f t="shared" si="8"/>
        <v>662717.30000000005</v>
      </c>
      <c r="L45" s="109">
        <f t="shared" si="8"/>
        <v>702480.33799999999</v>
      </c>
    </row>
    <row r="46" spans="1:12" x14ac:dyDescent="0.2">
      <c r="A46" s="5" t="s">
        <v>70</v>
      </c>
      <c r="B46" s="7" t="s">
        <v>71</v>
      </c>
      <c r="C46" s="29">
        <v>1924243</v>
      </c>
      <c r="D46" s="11">
        <v>145626.79999999999</v>
      </c>
      <c r="E46" s="9">
        <v>0</v>
      </c>
      <c r="F46" s="11">
        <v>873760.8</v>
      </c>
      <c r="G46" s="9">
        <f t="shared" si="2"/>
        <v>1050482.2</v>
      </c>
      <c r="H46" s="11">
        <f t="shared" si="7"/>
        <v>45.408027988149108</v>
      </c>
      <c r="I46" s="240">
        <f>I738</f>
        <v>0</v>
      </c>
      <c r="J46" s="109">
        <f t="shared" si="9"/>
        <v>1924243</v>
      </c>
      <c r="K46" s="229">
        <f t="shared" si="8"/>
        <v>2039697.58</v>
      </c>
      <c r="L46" s="109">
        <f t="shared" si="8"/>
        <v>2162079.4347999999</v>
      </c>
    </row>
    <row r="47" spans="1:12" x14ac:dyDescent="0.2">
      <c r="A47" s="5"/>
      <c r="B47" s="7"/>
      <c r="C47" s="29"/>
      <c r="D47" s="11"/>
      <c r="E47" s="9"/>
      <c r="F47" s="11"/>
      <c r="G47" s="9">
        <f t="shared" si="2"/>
        <v>0</v>
      </c>
      <c r="H47" s="11"/>
      <c r="I47" s="240"/>
      <c r="J47" s="162"/>
      <c r="K47" s="169"/>
      <c r="L47" s="162"/>
    </row>
    <row r="48" spans="1:12" s="3" customFormat="1" ht="15" x14ac:dyDescent="0.25">
      <c r="A48" s="18"/>
      <c r="B48" s="19" t="s">
        <v>72</v>
      </c>
      <c r="C48" s="28">
        <f>SUM(C44:C47)</f>
        <v>10246420</v>
      </c>
      <c r="D48" s="21">
        <f t="shared" ref="D48:F48" si="10">SUM(D44:D47)</f>
        <v>637560.07000000007</v>
      </c>
      <c r="E48" s="20">
        <f t="shared" si="10"/>
        <v>0</v>
      </c>
      <c r="F48" s="21">
        <f t="shared" si="10"/>
        <v>3825360.42</v>
      </c>
      <c r="G48" s="20">
        <f t="shared" si="2"/>
        <v>6421059.5800000001</v>
      </c>
      <c r="H48" s="21">
        <v>37.33</v>
      </c>
      <c r="I48" s="238">
        <f t="shared" ref="I48" si="11">SUM(I44:I47)</f>
        <v>0</v>
      </c>
      <c r="J48" s="168">
        <f t="shared" ref="J48" si="12">SUM(J44:J47)</f>
        <v>10246420</v>
      </c>
      <c r="K48" s="178">
        <f t="shared" ref="K48" si="13">SUM(K44:K47)</f>
        <v>10861205.200000001</v>
      </c>
      <c r="L48" s="168">
        <f t="shared" ref="L48" si="14">SUM(L44:L47)</f>
        <v>11512877.511999998</v>
      </c>
    </row>
    <row r="49" spans="1:12" s="3" customFormat="1" ht="15" x14ac:dyDescent="0.25">
      <c r="A49" s="18"/>
      <c r="B49" s="19"/>
      <c r="C49" s="28"/>
      <c r="D49" s="21"/>
      <c r="E49" s="20"/>
      <c r="F49" s="21"/>
      <c r="G49" s="9">
        <f t="shared" si="2"/>
        <v>0</v>
      </c>
      <c r="H49" s="21"/>
      <c r="I49" s="238"/>
      <c r="J49" s="168"/>
      <c r="K49" s="178"/>
      <c r="L49" s="168"/>
    </row>
    <row r="50" spans="1:12" s="3" customFormat="1" ht="15" x14ac:dyDescent="0.25">
      <c r="A50" s="18"/>
      <c r="B50" s="19" t="s">
        <v>73</v>
      </c>
      <c r="C50" s="28">
        <f>C40+C48</f>
        <v>76301596</v>
      </c>
      <c r="D50" s="21">
        <f t="shared" ref="D50:L50" si="15">D40+D48</f>
        <v>5775882.3600000003</v>
      </c>
      <c r="E50" s="20">
        <f t="shared" si="15"/>
        <v>0</v>
      </c>
      <c r="F50" s="21">
        <f t="shared" si="15"/>
        <v>34171211.259999998</v>
      </c>
      <c r="G50" s="20">
        <f t="shared" si="2"/>
        <v>42130384.740000002</v>
      </c>
      <c r="H50" s="21">
        <v>44.78</v>
      </c>
      <c r="I50" s="238">
        <f t="shared" si="15"/>
        <v>111210.48000000008</v>
      </c>
      <c r="J50" s="168">
        <f t="shared" si="15"/>
        <v>76412806.479999989</v>
      </c>
      <c r="K50" s="178">
        <f t="shared" si="15"/>
        <v>80619024.608800009</v>
      </c>
      <c r="L50" s="168">
        <f t="shared" si="15"/>
        <v>85691084.041327998</v>
      </c>
    </row>
    <row r="51" spans="1:12" s="3" customFormat="1" ht="15" x14ac:dyDescent="0.25">
      <c r="A51" s="18"/>
      <c r="B51" s="19"/>
      <c r="C51" s="28"/>
      <c r="D51" s="21"/>
      <c r="E51" s="20"/>
      <c r="F51" s="21"/>
      <c r="G51" s="9">
        <f t="shared" si="2"/>
        <v>0</v>
      </c>
      <c r="H51" s="21"/>
      <c r="I51" s="238"/>
      <c r="J51" s="168"/>
      <c r="K51" s="178"/>
      <c r="L51" s="168"/>
    </row>
    <row r="52" spans="1:12" s="3" customFormat="1" ht="15" x14ac:dyDescent="0.25">
      <c r="A52" s="18"/>
      <c r="B52" s="19" t="s">
        <v>74</v>
      </c>
      <c r="C52" s="28"/>
      <c r="D52" s="21"/>
      <c r="E52" s="20"/>
      <c r="F52" s="21"/>
      <c r="G52" s="9">
        <f t="shared" si="2"/>
        <v>0</v>
      </c>
      <c r="H52" s="21"/>
      <c r="I52" s="238"/>
      <c r="J52" s="168"/>
      <c r="K52" s="178"/>
      <c r="L52" s="168"/>
    </row>
    <row r="53" spans="1:12" s="3" customFormat="1" ht="15" x14ac:dyDescent="0.25">
      <c r="A53" s="18"/>
      <c r="B53" s="19"/>
      <c r="C53" s="28"/>
      <c r="D53" s="21"/>
      <c r="E53" s="20"/>
      <c r="F53" s="21"/>
      <c r="G53" s="9">
        <f t="shared" si="2"/>
        <v>0</v>
      </c>
      <c r="H53" s="21"/>
      <c r="I53" s="238"/>
      <c r="J53" s="168"/>
      <c r="K53" s="178"/>
      <c r="L53" s="168"/>
    </row>
    <row r="54" spans="1:12" s="3" customFormat="1" ht="15" x14ac:dyDescent="0.25">
      <c r="A54" s="18"/>
      <c r="B54" s="19" t="s">
        <v>75</v>
      </c>
      <c r="C54" s="28"/>
      <c r="D54" s="21"/>
      <c r="E54" s="20"/>
      <c r="F54" s="21"/>
      <c r="G54" s="9">
        <f t="shared" si="2"/>
        <v>0</v>
      </c>
      <c r="H54" s="21"/>
      <c r="I54" s="238"/>
      <c r="J54" s="168"/>
      <c r="K54" s="178"/>
      <c r="L54" s="168"/>
    </row>
    <row r="55" spans="1:12" s="3" customFormat="1" ht="15" x14ac:dyDescent="0.25">
      <c r="A55" s="18"/>
      <c r="B55" s="19"/>
      <c r="C55" s="28"/>
      <c r="D55" s="21"/>
      <c r="E55" s="20"/>
      <c r="F55" s="21"/>
      <c r="G55" s="9">
        <f t="shared" si="2"/>
        <v>0</v>
      </c>
      <c r="H55" s="21"/>
      <c r="I55" s="238"/>
      <c r="J55" s="168"/>
      <c r="K55" s="178"/>
      <c r="L55" s="168"/>
    </row>
    <row r="56" spans="1:12" x14ac:dyDescent="0.2">
      <c r="A56" s="5" t="s">
        <v>76</v>
      </c>
      <c r="B56" s="7" t="s">
        <v>77</v>
      </c>
      <c r="C56" s="29">
        <f>C404+C545+C660+C748+C818+C965+C1135</f>
        <v>757431</v>
      </c>
      <c r="D56" s="37">
        <f>D404+D545+D660+D748+D818+D965+D1135</f>
        <v>6882.37</v>
      </c>
      <c r="E56" s="29">
        <f>E404+E545+E660+E748+E818+E965+E1135</f>
        <v>47367.78</v>
      </c>
      <c r="F56" s="37">
        <f>F404+F545+F660+F748+F818+F965+F1135</f>
        <v>206950.92</v>
      </c>
      <c r="G56" s="29">
        <f>G404+G545+G660+G748+G818+G965+G1135</f>
        <v>526320.82999999996</v>
      </c>
      <c r="H56" s="11">
        <v>27.32</v>
      </c>
      <c r="I56" s="239">
        <f>I404+I545+I660+I748+I818+I965+I1135</f>
        <v>-25000</v>
      </c>
      <c r="J56" s="116">
        <f>C56+I56</f>
        <v>732431</v>
      </c>
      <c r="K56" s="246">
        <f>K404+K545+K660+K748+K818+K965+K1135</f>
        <v>776376.8600000001</v>
      </c>
      <c r="L56" s="116">
        <f>L404+L545+L660+L748+L818+L965+L1135</f>
        <v>822959.47159999993</v>
      </c>
    </row>
    <row r="57" spans="1:12" x14ac:dyDescent="0.2">
      <c r="A57" s="5" t="s">
        <v>78</v>
      </c>
      <c r="B57" s="7" t="s">
        <v>79</v>
      </c>
      <c r="C57" s="29">
        <f>C819</f>
        <v>100000</v>
      </c>
      <c r="D57" s="37">
        <f t="shared" ref="D57:G57" si="16">D819</f>
        <v>0</v>
      </c>
      <c r="E57" s="29">
        <f t="shared" si="16"/>
        <v>0</v>
      </c>
      <c r="F57" s="37">
        <f t="shared" si="16"/>
        <v>84062.46</v>
      </c>
      <c r="G57" s="29">
        <f t="shared" si="16"/>
        <v>15937.539999999994</v>
      </c>
      <c r="H57" s="11">
        <v>84.06</v>
      </c>
      <c r="I57" s="76">
        <f>I819</f>
        <v>224011</v>
      </c>
      <c r="J57" s="116">
        <f t="shared" ref="J57:J120" si="17">C57+I57</f>
        <v>324011</v>
      </c>
      <c r="K57" s="246">
        <f>K819</f>
        <v>343451.66</v>
      </c>
      <c r="L57" s="116">
        <f>L819</f>
        <v>364058.75959999999</v>
      </c>
    </row>
    <row r="58" spans="1:12" x14ac:dyDescent="0.2">
      <c r="A58" s="5" t="s">
        <v>80</v>
      </c>
      <c r="B58" s="7" t="s">
        <v>81</v>
      </c>
      <c r="C58" s="29">
        <f>C405</f>
        <v>764000</v>
      </c>
      <c r="D58" s="37">
        <f t="shared" ref="D58:G58" si="18">D405</f>
        <v>0</v>
      </c>
      <c r="E58" s="29">
        <f t="shared" si="18"/>
        <v>0</v>
      </c>
      <c r="F58" s="37">
        <f t="shared" si="18"/>
        <v>754844.73</v>
      </c>
      <c r="G58" s="29">
        <f t="shared" si="18"/>
        <v>9155.2700000000186</v>
      </c>
      <c r="H58" s="11">
        <v>98.8</v>
      </c>
      <c r="I58" s="239">
        <f>I405</f>
        <v>-9155.27</v>
      </c>
      <c r="J58" s="116">
        <f t="shared" si="17"/>
        <v>754844.73</v>
      </c>
      <c r="K58" s="246">
        <f>K405</f>
        <v>800135.41379999998</v>
      </c>
      <c r="L58" s="116">
        <f>L405</f>
        <v>848143.53862799995</v>
      </c>
    </row>
    <row r="59" spans="1:12" x14ac:dyDescent="0.2">
      <c r="A59" s="5" t="s">
        <v>82</v>
      </c>
      <c r="B59" s="7" t="s">
        <v>83</v>
      </c>
      <c r="C59" s="29">
        <f>C661</f>
        <v>70000</v>
      </c>
      <c r="D59" s="37">
        <f t="shared" ref="D59:G59" si="19">D661</f>
        <v>2512.8000000000002</v>
      </c>
      <c r="E59" s="29">
        <f t="shared" si="19"/>
        <v>6179.82</v>
      </c>
      <c r="F59" s="37">
        <f t="shared" si="19"/>
        <v>26529.57</v>
      </c>
      <c r="G59" s="29">
        <f t="shared" si="19"/>
        <v>37290.61</v>
      </c>
      <c r="H59" s="11">
        <v>37.89</v>
      </c>
      <c r="I59" s="239">
        <f>I661</f>
        <v>0</v>
      </c>
      <c r="J59" s="116">
        <f t="shared" si="17"/>
        <v>70000</v>
      </c>
      <c r="K59" s="228">
        <f>K661</f>
        <v>74200</v>
      </c>
      <c r="L59" s="134">
        <f>L661</f>
        <v>78652</v>
      </c>
    </row>
    <row r="60" spans="1:12" x14ac:dyDescent="0.2">
      <c r="A60" s="5" t="s">
        <v>84</v>
      </c>
      <c r="B60" s="7" t="s">
        <v>85</v>
      </c>
      <c r="C60" s="29">
        <f>C406</f>
        <v>100000</v>
      </c>
      <c r="D60" s="37">
        <f t="shared" ref="D60:G60" si="20">D406</f>
        <v>0</v>
      </c>
      <c r="E60" s="29">
        <f t="shared" si="20"/>
        <v>0</v>
      </c>
      <c r="F60" s="37">
        <f t="shared" si="20"/>
        <v>25128</v>
      </c>
      <c r="G60" s="29">
        <f t="shared" si="20"/>
        <v>74872</v>
      </c>
      <c r="H60" s="11">
        <v>25.12</v>
      </c>
      <c r="I60" s="239">
        <f>I406</f>
        <v>-40000</v>
      </c>
      <c r="J60" s="116">
        <f t="shared" si="17"/>
        <v>60000</v>
      </c>
      <c r="K60" s="246">
        <f>K406</f>
        <v>63600</v>
      </c>
      <c r="L60" s="116">
        <f>L406</f>
        <v>67416</v>
      </c>
    </row>
    <row r="61" spans="1:12" x14ac:dyDescent="0.2">
      <c r="A61" s="5" t="s">
        <v>86</v>
      </c>
      <c r="B61" s="7" t="s">
        <v>87</v>
      </c>
      <c r="C61" s="29">
        <f>C820</f>
        <v>80000</v>
      </c>
      <c r="D61" s="37">
        <f t="shared" ref="D61:G61" si="21">D820</f>
        <v>0</v>
      </c>
      <c r="E61" s="29">
        <f t="shared" si="21"/>
        <v>0</v>
      </c>
      <c r="F61" s="37">
        <f t="shared" si="21"/>
        <v>78286.23</v>
      </c>
      <c r="G61" s="29">
        <f t="shared" si="21"/>
        <v>1713.7700000000041</v>
      </c>
      <c r="H61" s="11">
        <v>97.85</v>
      </c>
      <c r="I61" s="239">
        <f>I820</f>
        <v>40000</v>
      </c>
      <c r="J61" s="116">
        <f t="shared" si="17"/>
        <v>120000</v>
      </c>
      <c r="K61" s="246">
        <f>K820</f>
        <v>127200</v>
      </c>
      <c r="L61" s="116">
        <f>L820</f>
        <v>134832</v>
      </c>
    </row>
    <row r="62" spans="1:12" x14ac:dyDescent="0.2">
      <c r="A62" s="5" t="s">
        <v>88</v>
      </c>
      <c r="B62" s="7" t="s">
        <v>89</v>
      </c>
      <c r="C62" s="29">
        <f>C662</f>
        <v>250000</v>
      </c>
      <c r="D62" s="37">
        <f t="shared" ref="D62:G62" si="22">D662</f>
        <v>8923.2000000000007</v>
      </c>
      <c r="E62" s="29">
        <f t="shared" si="22"/>
        <v>0</v>
      </c>
      <c r="F62" s="37">
        <f t="shared" si="22"/>
        <v>126119.21</v>
      </c>
      <c r="G62" s="29">
        <f t="shared" si="22"/>
        <v>123880.79</v>
      </c>
      <c r="H62" s="11">
        <v>50.44</v>
      </c>
      <c r="I62" s="239">
        <f>I662</f>
        <v>60000</v>
      </c>
      <c r="J62" s="116">
        <f t="shared" si="17"/>
        <v>310000</v>
      </c>
      <c r="K62" s="246">
        <f>K662</f>
        <v>328600</v>
      </c>
      <c r="L62" s="116">
        <f>L662</f>
        <v>348316</v>
      </c>
    </row>
    <row r="63" spans="1:12" x14ac:dyDescent="0.2">
      <c r="A63" s="5" t="s">
        <v>90</v>
      </c>
      <c r="B63" s="7" t="s">
        <v>91</v>
      </c>
      <c r="C63" s="29">
        <f>C546</f>
        <v>400000</v>
      </c>
      <c r="D63" s="37">
        <f t="shared" ref="D63:G63" si="23">D546</f>
        <v>0</v>
      </c>
      <c r="E63" s="29">
        <f t="shared" si="23"/>
        <v>0</v>
      </c>
      <c r="F63" s="37">
        <f t="shared" si="23"/>
        <v>0</v>
      </c>
      <c r="G63" s="29">
        <f t="shared" si="23"/>
        <v>400000</v>
      </c>
      <c r="H63" s="11">
        <v>0</v>
      </c>
      <c r="I63" s="239">
        <f>I546</f>
        <v>0</v>
      </c>
      <c r="J63" s="116">
        <f t="shared" si="17"/>
        <v>400000</v>
      </c>
      <c r="K63" s="246">
        <f>K546</f>
        <v>0</v>
      </c>
      <c r="L63" s="116">
        <f>L546</f>
        <v>0</v>
      </c>
    </row>
    <row r="64" spans="1:12" x14ac:dyDescent="0.2">
      <c r="A64" s="5" t="s">
        <v>92</v>
      </c>
      <c r="B64" s="7" t="s">
        <v>93</v>
      </c>
      <c r="C64" s="29">
        <f>C663</f>
        <v>2986617</v>
      </c>
      <c r="D64" s="37">
        <f t="shared" ref="D64:G64" si="24">D663</f>
        <v>591126.91</v>
      </c>
      <c r="E64" s="29">
        <f t="shared" si="24"/>
        <v>0</v>
      </c>
      <c r="F64" s="37">
        <f t="shared" si="24"/>
        <v>1331979.31</v>
      </c>
      <c r="G64" s="29">
        <f t="shared" si="24"/>
        <v>1654637.69</v>
      </c>
      <c r="H64" s="11">
        <v>44.59</v>
      </c>
      <c r="I64" s="239">
        <f>I663</f>
        <v>-400000</v>
      </c>
      <c r="J64" s="116">
        <f t="shared" si="17"/>
        <v>2586617</v>
      </c>
      <c r="K64" s="246">
        <f>K663</f>
        <v>2741814.02</v>
      </c>
      <c r="L64" s="116">
        <f>L663</f>
        <v>2906322.8612000002</v>
      </c>
    </row>
    <row r="65" spans="1:12" x14ac:dyDescent="0.2">
      <c r="A65" s="5" t="s">
        <v>94</v>
      </c>
      <c r="B65" s="7" t="s">
        <v>95</v>
      </c>
      <c r="C65" s="29">
        <f>C821</f>
        <v>317400</v>
      </c>
      <c r="D65" s="37">
        <f t="shared" ref="D65:G65" si="25">D821</f>
        <v>22503.46</v>
      </c>
      <c r="E65" s="29">
        <f t="shared" si="25"/>
        <v>0</v>
      </c>
      <c r="F65" s="37">
        <f t="shared" si="25"/>
        <v>146936.4</v>
      </c>
      <c r="G65" s="29">
        <f t="shared" si="25"/>
        <v>170463.6</v>
      </c>
      <c r="H65" s="11">
        <v>46.29</v>
      </c>
      <c r="I65" s="239">
        <f>I821</f>
        <v>0</v>
      </c>
      <c r="J65" s="116">
        <f t="shared" si="17"/>
        <v>317400</v>
      </c>
      <c r="K65" s="246">
        <f>K821</f>
        <v>336444</v>
      </c>
      <c r="L65" s="116">
        <f>L821</f>
        <v>356630.64</v>
      </c>
    </row>
    <row r="66" spans="1:12" x14ac:dyDescent="0.2">
      <c r="A66" s="5" t="s">
        <v>96</v>
      </c>
      <c r="B66" s="7" t="s">
        <v>97</v>
      </c>
      <c r="C66" s="29">
        <f>C966</f>
        <v>250000</v>
      </c>
      <c r="D66" s="37">
        <f t="shared" ref="D66:G66" si="26">D966</f>
        <v>0</v>
      </c>
      <c r="E66" s="29">
        <f t="shared" si="26"/>
        <v>0</v>
      </c>
      <c r="F66" s="37">
        <f t="shared" si="26"/>
        <v>0</v>
      </c>
      <c r="G66" s="29">
        <f t="shared" si="26"/>
        <v>250000</v>
      </c>
      <c r="H66" s="11">
        <v>0</v>
      </c>
      <c r="I66" s="239">
        <f>I966</f>
        <v>0</v>
      </c>
      <c r="J66" s="116">
        <f t="shared" si="17"/>
        <v>250000</v>
      </c>
      <c r="K66" s="246">
        <f>K966</f>
        <v>0</v>
      </c>
      <c r="L66" s="116">
        <f>L966</f>
        <v>0</v>
      </c>
    </row>
    <row r="67" spans="1:12" x14ac:dyDescent="0.2">
      <c r="A67" s="5" t="s">
        <v>98</v>
      </c>
      <c r="B67" s="7" t="s">
        <v>99</v>
      </c>
      <c r="C67" s="29">
        <f>C407</f>
        <v>20000</v>
      </c>
      <c r="D67" s="37">
        <f t="shared" ref="D67:G67" si="27">D407</f>
        <v>0</v>
      </c>
      <c r="E67" s="29">
        <f t="shared" si="27"/>
        <v>0</v>
      </c>
      <c r="F67" s="37">
        <f t="shared" si="27"/>
        <v>0</v>
      </c>
      <c r="G67" s="29">
        <f t="shared" si="27"/>
        <v>20000</v>
      </c>
      <c r="H67" s="11">
        <v>0</v>
      </c>
      <c r="I67" s="239">
        <f>I407</f>
        <v>-10000</v>
      </c>
      <c r="J67" s="116">
        <f t="shared" si="17"/>
        <v>10000</v>
      </c>
      <c r="K67" s="228">
        <f>K407</f>
        <v>10600</v>
      </c>
      <c r="L67" s="134">
        <f>L407</f>
        <v>11236</v>
      </c>
    </row>
    <row r="68" spans="1:12" x14ac:dyDescent="0.2">
      <c r="A68" s="5" t="s">
        <v>100</v>
      </c>
      <c r="B68" s="7" t="s">
        <v>101</v>
      </c>
      <c r="C68" s="29">
        <v>150000</v>
      </c>
      <c r="D68" s="11">
        <v>0</v>
      </c>
      <c r="E68" s="9">
        <v>0</v>
      </c>
      <c r="F68" s="11">
        <v>0</v>
      </c>
      <c r="G68" s="9">
        <f t="shared" ref="G68:G91" si="28">C68-E68-F68</f>
        <v>150000</v>
      </c>
      <c r="H68" s="11">
        <v>0</v>
      </c>
      <c r="I68" s="240">
        <f>I547</f>
        <v>0</v>
      </c>
      <c r="J68" s="116">
        <f t="shared" si="17"/>
        <v>150000</v>
      </c>
      <c r="K68" s="229">
        <f>K547</f>
        <v>0</v>
      </c>
      <c r="L68" s="109">
        <f>L547</f>
        <v>0</v>
      </c>
    </row>
    <row r="69" spans="1:12" x14ac:dyDescent="0.2">
      <c r="A69" s="5" t="s">
        <v>102</v>
      </c>
      <c r="B69" s="7" t="s">
        <v>103</v>
      </c>
      <c r="C69" s="29">
        <v>137540</v>
      </c>
      <c r="D69" s="11">
        <v>9588</v>
      </c>
      <c r="E69" s="9">
        <v>0</v>
      </c>
      <c r="F69" s="11">
        <v>57528</v>
      </c>
      <c r="G69" s="9">
        <f t="shared" si="28"/>
        <v>80012</v>
      </c>
      <c r="H69" s="11">
        <v>41.82</v>
      </c>
      <c r="I69" s="240">
        <f>I822</f>
        <v>0</v>
      </c>
      <c r="J69" s="116">
        <f t="shared" si="17"/>
        <v>137540</v>
      </c>
      <c r="K69" s="229">
        <f>K822</f>
        <v>145792.4</v>
      </c>
      <c r="L69" s="109">
        <f>L822</f>
        <v>154539.94399999999</v>
      </c>
    </row>
    <row r="70" spans="1:12" x14ac:dyDescent="0.2">
      <c r="A70" s="5" t="s">
        <v>104</v>
      </c>
      <c r="B70" s="7" t="s">
        <v>105</v>
      </c>
      <c r="C70" s="29">
        <v>52900</v>
      </c>
      <c r="D70" s="11">
        <v>3150</v>
      </c>
      <c r="E70" s="9">
        <v>1624</v>
      </c>
      <c r="F70" s="11">
        <v>3150</v>
      </c>
      <c r="G70" s="9">
        <f t="shared" si="28"/>
        <v>48126</v>
      </c>
      <c r="H70" s="11">
        <v>5.95</v>
      </c>
      <c r="I70" s="240">
        <f>I664</f>
        <v>0</v>
      </c>
      <c r="J70" s="116">
        <f t="shared" si="17"/>
        <v>52900</v>
      </c>
      <c r="K70" s="229">
        <f>K664</f>
        <v>56074</v>
      </c>
      <c r="L70" s="109">
        <f>L664</f>
        <v>59438.44</v>
      </c>
    </row>
    <row r="71" spans="1:12" x14ac:dyDescent="0.2">
      <c r="A71" s="5" t="s">
        <v>107</v>
      </c>
      <c r="B71" s="7" t="s">
        <v>108</v>
      </c>
      <c r="C71" s="29">
        <v>0</v>
      </c>
      <c r="D71" s="11">
        <v>0</v>
      </c>
      <c r="E71" s="9">
        <v>0</v>
      </c>
      <c r="F71" s="11">
        <v>123015</v>
      </c>
      <c r="G71" s="9">
        <f t="shared" si="28"/>
        <v>-123015</v>
      </c>
      <c r="H71" s="11">
        <v>0</v>
      </c>
      <c r="I71" s="240">
        <f>I968</f>
        <v>142810</v>
      </c>
      <c r="J71" s="116">
        <f t="shared" si="17"/>
        <v>142810</v>
      </c>
      <c r="K71" s="229">
        <f>K968</f>
        <v>0</v>
      </c>
      <c r="L71" s="109">
        <f>L968</f>
        <v>0</v>
      </c>
    </row>
    <row r="72" spans="1:12" x14ac:dyDescent="0.2">
      <c r="A72" s="5" t="s">
        <v>109</v>
      </c>
      <c r="B72" s="7" t="s">
        <v>60</v>
      </c>
      <c r="C72" s="29">
        <v>268320</v>
      </c>
      <c r="D72" s="11">
        <v>0</v>
      </c>
      <c r="E72" s="9">
        <v>0</v>
      </c>
      <c r="F72" s="11">
        <v>268320</v>
      </c>
      <c r="G72" s="9">
        <f t="shared" si="28"/>
        <v>0</v>
      </c>
      <c r="H72" s="11">
        <v>100</v>
      </c>
      <c r="I72" s="240">
        <f>I408</f>
        <v>250000</v>
      </c>
      <c r="J72" s="116">
        <f t="shared" si="17"/>
        <v>518320</v>
      </c>
      <c r="K72" s="229">
        <f>K408</f>
        <v>549419.19999999995</v>
      </c>
      <c r="L72" s="109">
        <f>L408</f>
        <v>582384.35199999996</v>
      </c>
    </row>
    <row r="73" spans="1:12" x14ac:dyDescent="0.2">
      <c r="A73" s="5" t="s">
        <v>110</v>
      </c>
      <c r="B73" s="7" t="s">
        <v>111</v>
      </c>
      <c r="C73" s="29">
        <v>750000</v>
      </c>
      <c r="D73" s="11">
        <v>0</v>
      </c>
      <c r="E73" s="9">
        <v>0</v>
      </c>
      <c r="F73" s="11">
        <v>395091.08</v>
      </c>
      <c r="G73" s="9">
        <f t="shared" si="28"/>
        <v>354908.92</v>
      </c>
      <c r="H73" s="11">
        <v>52.67</v>
      </c>
      <c r="I73" s="240">
        <f>I823</f>
        <v>0</v>
      </c>
      <c r="J73" s="116">
        <f t="shared" si="17"/>
        <v>750000</v>
      </c>
      <c r="K73" s="229">
        <f>K823</f>
        <v>795000</v>
      </c>
      <c r="L73" s="109">
        <f>L823</f>
        <v>842700</v>
      </c>
    </row>
    <row r="74" spans="1:12" x14ac:dyDescent="0.2">
      <c r="A74" s="5" t="s">
        <v>112</v>
      </c>
      <c r="B74" s="7" t="s">
        <v>113</v>
      </c>
      <c r="C74" s="29">
        <v>500000</v>
      </c>
      <c r="D74" s="11">
        <v>0</v>
      </c>
      <c r="E74" s="9">
        <v>0</v>
      </c>
      <c r="F74" s="11">
        <v>0</v>
      </c>
      <c r="G74" s="9">
        <f t="shared" si="28"/>
        <v>500000</v>
      </c>
      <c r="H74" s="11">
        <v>0</v>
      </c>
      <c r="I74" s="240">
        <f>I824</f>
        <v>-500000</v>
      </c>
      <c r="J74" s="116">
        <f t="shared" si="17"/>
        <v>0</v>
      </c>
      <c r="K74" s="229">
        <f>K824</f>
        <v>0</v>
      </c>
      <c r="L74" s="109">
        <f>L824</f>
        <v>0</v>
      </c>
    </row>
    <row r="75" spans="1:12" x14ac:dyDescent="0.2">
      <c r="A75" s="5" t="s">
        <v>114</v>
      </c>
      <c r="B75" s="7" t="s">
        <v>115</v>
      </c>
      <c r="C75" s="29">
        <v>272594</v>
      </c>
      <c r="D75" s="11">
        <v>43.45</v>
      </c>
      <c r="E75" s="9">
        <v>0</v>
      </c>
      <c r="F75" s="11">
        <v>144389.45000000001</v>
      </c>
      <c r="G75" s="9">
        <f t="shared" si="28"/>
        <v>128204.54999999999</v>
      </c>
      <c r="H75" s="11">
        <v>52.96</v>
      </c>
      <c r="I75" s="240">
        <f>I409</f>
        <v>30795</v>
      </c>
      <c r="J75" s="116">
        <f t="shared" si="17"/>
        <v>303389</v>
      </c>
      <c r="K75" s="229">
        <f>K409</f>
        <v>321592.34000000003</v>
      </c>
      <c r="L75" s="109">
        <f>L409</f>
        <v>340887.88040000002</v>
      </c>
    </row>
    <row r="76" spans="1:12" x14ac:dyDescent="0.2">
      <c r="A76" s="5" t="s">
        <v>116</v>
      </c>
      <c r="B76" s="7" t="s">
        <v>117</v>
      </c>
      <c r="C76" s="29">
        <v>600000</v>
      </c>
      <c r="D76" s="11">
        <v>300985</v>
      </c>
      <c r="E76" s="9">
        <v>0</v>
      </c>
      <c r="F76" s="11">
        <v>421235</v>
      </c>
      <c r="G76" s="9">
        <f t="shared" si="28"/>
        <v>178765</v>
      </c>
      <c r="H76" s="11">
        <v>70.2</v>
      </c>
      <c r="I76" s="240">
        <f>I825</f>
        <v>500000</v>
      </c>
      <c r="J76" s="116">
        <f t="shared" si="17"/>
        <v>1100000</v>
      </c>
      <c r="K76" s="229">
        <f>K825</f>
        <v>0</v>
      </c>
      <c r="L76" s="109">
        <f>L825</f>
        <v>0</v>
      </c>
    </row>
    <row r="77" spans="1:12" x14ac:dyDescent="0.2">
      <c r="A77" s="5" t="s">
        <v>118</v>
      </c>
      <c r="B77" s="7" t="s">
        <v>119</v>
      </c>
      <c r="C77" s="29">
        <v>7037</v>
      </c>
      <c r="D77" s="11">
        <v>0</v>
      </c>
      <c r="E77" s="9">
        <v>0</v>
      </c>
      <c r="F77" s="11">
        <v>2192.98</v>
      </c>
      <c r="G77" s="9">
        <f t="shared" si="28"/>
        <v>4844.0200000000004</v>
      </c>
      <c r="H77" s="11">
        <v>31.16</v>
      </c>
      <c r="I77" s="240">
        <f>I826</f>
        <v>0</v>
      </c>
      <c r="J77" s="116">
        <f t="shared" si="17"/>
        <v>7037</v>
      </c>
      <c r="K77" s="229">
        <f>K826</f>
        <v>7459.22</v>
      </c>
      <c r="L77" s="109">
        <f>L826</f>
        <v>7906.7732000000005</v>
      </c>
    </row>
    <row r="78" spans="1:12" x14ac:dyDescent="0.2">
      <c r="A78" s="5" t="s">
        <v>121</v>
      </c>
      <c r="B78" s="7" t="s">
        <v>122</v>
      </c>
      <c r="C78" s="29">
        <v>50000</v>
      </c>
      <c r="D78" s="11">
        <v>0</v>
      </c>
      <c r="E78" s="9">
        <v>0</v>
      </c>
      <c r="F78" s="11">
        <v>0</v>
      </c>
      <c r="G78" s="9">
        <f t="shared" si="28"/>
        <v>50000</v>
      </c>
      <c r="H78" s="11">
        <v>0</v>
      </c>
      <c r="I78" s="240">
        <f>I969</f>
        <v>-40000</v>
      </c>
      <c r="J78" s="116">
        <f t="shared" si="17"/>
        <v>10000</v>
      </c>
      <c r="K78" s="229">
        <f>K969</f>
        <v>10600</v>
      </c>
      <c r="L78" s="109">
        <f>L969</f>
        <v>11236</v>
      </c>
    </row>
    <row r="79" spans="1:12" x14ac:dyDescent="0.2">
      <c r="A79" s="5" t="s">
        <v>123</v>
      </c>
      <c r="B79" s="7" t="s">
        <v>124</v>
      </c>
      <c r="C79" s="29">
        <v>80000</v>
      </c>
      <c r="D79" s="11">
        <v>1540.17</v>
      </c>
      <c r="E79" s="9">
        <v>0</v>
      </c>
      <c r="F79" s="11">
        <v>12900.52</v>
      </c>
      <c r="G79" s="9">
        <f t="shared" si="28"/>
        <v>67099.48</v>
      </c>
      <c r="H79" s="11">
        <v>16.12</v>
      </c>
      <c r="I79" s="240">
        <f>I410</f>
        <v>0</v>
      </c>
      <c r="J79" s="116">
        <f t="shared" si="17"/>
        <v>80000</v>
      </c>
      <c r="K79" s="229">
        <f>K410</f>
        <v>84800</v>
      </c>
      <c r="L79" s="109">
        <f>L410</f>
        <v>89888</v>
      </c>
    </row>
    <row r="80" spans="1:12" x14ac:dyDescent="0.2">
      <c r="A80" s="5" t="s">
        <v>125</v>
      </c>
      <c r="B80" s="7" t="s">
        <v>126</v>
      </c>
      <c r="C80" s="29">
        <v>8500000</v>
      </c>
      <c r="D80" s="11">
        <v>726420.75</v>
      </c>
      <c r="E80" s="9">
        <v>0</v>
      </c>
      <c r="F80" s="11">
        <v>4131089.03</v>
      </c>
      <c r="G80" s="9">
        <f t="shared" si="28"/>
        <v>4368910.9700000007</v>
      </c>
      <c r="H80" s="11">
        <v>48.6</v>
      </c>
      <c r="I80" s="240">
        <f>I827</f>
        <v>0</v>
      </c>
      <c r="J80" s="116">
        <f t="shared" si="17"/>
        <v>8500000</v>
      </c>
      <c r="K80" s="229">
        <f>K827</f>
        <v>9010000</v>
      </c>
      <c r="L80" s="109">
        <f>L827</f>
        <v>9550600</v>
      </c>
    </row>
    <row r="81" spans="1:12" x14ac:dyDescent="0.2">
      <c r="A81" s="5" t="s">
        <v>127</v>
      </c>
      <c r="B81" s="7" t="s">
        <v>128</v>
      </c>
      <c r="C81" s="29">
        <v>70000</v>
      </c>
      <c r="D81" s="11">
        <v>0</v>
      </c>
      <c r="E81" s="9">
        <v>0</v>
      </c>
      <c r="F81" s="11">
        <v>4088.15</v>
      </c>
      <c r="G81" s="9">
        <f t="shared" si="28"/>
        <v>65911.850000000006</v>
      </c>
      <c r="H81" s="11">
        <v>5.84</v>
      </c>
      <c r="I81" s="240">
        <f>I970</f>
        <v>-60000</v>
      </c>
      <c r="J81" s="116">
        <f t="shared" si="17"/>
        <v>10000</v>
      </c>
      <c r="K81" s="229">
        <f>K970</f>
        <v>10600</v>
      </c>
      <c r="L81" s="109">
        <f>L970</f>
        <v>11236</v>
      </c>
    </row>
    <row r="82" spans="1:12" x14ac:dyDescent="0.2">
      <c r="A82" s="5" t="s">
        <v>130</v>
      </c>
      <c r="B82" s="7" t="s">
        <v>131</v>
      </c>
      <c r="C82" s="29">
        <v>124011</v>
      </c>
      <c r="D82" s="11">
        <v>0</v>
      </c>
      <c r="E82" s="9">
        <v>0</v>
      </c>
      <c r="F82" s="11">
        <v>0</v>
      </c>
      <c r="G82" s="9">
        <f t="shared" si="28"/>
        <v>124011</v>
      </c>
      <c r="H82" s="11">
        <v>0</v>
      </c>
      <c r="I82" s="240">
        <f>I828</f>
        <v>-124011</v>
      </c>
      <c r="J82" s="116">
        <f t="shared" si="17"/>
        <v>0</v>
      </c>
      <c r="K82" s="229">
        <f>K828</f>
        <v>0</v>
      </c>
      <c r="L82" s="109">
        <f>L828</f>
        <v>0</v>
      </c>
    </row>
    <row r="83" spans="1:12" x14ac:dyDescent="0.2">
      <c r="A83" s="5" t="s">
        <v>132</v>
      </c>
      <c r="B83" s="7" t="s">
        <v>133</v>
      </c>
      <c r="C83" s="29">
        <v>2890272</v>
      </c>
      <c r="D83" s="11">
        <v>211040.25</v>
      </c>
      <c r="E83" s="9">
        <v>0</v>
      </c>
      <c r="F83" s="11">
        <v>1270021.68</v>
      </c>
      <c r="G83" s="9">
        <f t="shared" si="28"/>
        <v>1620250.32</v>
      </c>
      <c r="H83" s="11">
        <v>43.94</v>
      </c>
      <c r="I83" s="240">
        <f>I829</f>
        <v>0</v>
      </c>
      <c r="J83" s="116">
        <f t="shared" si="17"/>
        <v>2890272</v>
      </c>
      <c r="K83" s="229">
        <f>K829</f>
        <v>3063688.32</v>
      </c>
      <c r="L83" s="109">
        <f>L829</f>
        <v>3247509.6191999996</v>
      </c>
    </row>
    <row r="84" spans="1:12" x14ac:dyDescent="0.2">
      <c r="A84" s="5" t="s">
        <v>134</v>
      </c>
      <c r="B84" s="7" t="s">
        <v>135</v>
      </c>
      <c r="C84" s="29">
        <v>1500000</v>
      </c>
      <c r="D84" s="11">
        <v>6527.3</v>
      </c>
      <c r="E84" s="9">
        <v>12049.71</v>
      </c>
      <c r="F84" s="11">
        <v>88438.79</v>
      </c>
      <c r="G84" s="9">
        <f t="shared" si="28"/>
        <v>1399511.5</v>
      </c>
      <c r="H84" s="11">
        <v>5.89</v>
      </c>
      <c r="I84" s="240">
        <f>I1398</f>
        <v>0</v>
      </c>
      <c r="J84" s="116">
        <f t="shared" si="17"/>
        <v>1500000</v>
      </c>
      <c r="K84" s="229">
        <f>K1398</f>
        <v>1500000</v>
      </c>
      <c r="L84" s="109">
        <f>L1398</f>
        <v>1500000</v>
      </c>
    </row>
    <row r="85" spans="1:12" x14ac:dyDescent="0.2">
      <c r="A85" s="5" t="s">
        <v>136</v>
      </c>
      <c r="B85" s="7" t="s">
        <v>137</v>
      </c>
      <c r="C85" s="29">
        <v>1291816</v>
      </c>
      <c r="D85" s="11">
        <v>122169.03</v>
      </c>
      <c r="E85" s="9">
        <v>0</v>
      </c>
      <c r="F85" s="11">
        <v>719948.16</v>
      </c>
      <c r="G85" s="9">
        <f t="shared" si="28"/>
        <v>571867.84</v>
      </c>
      <c r="H85" s="11">
        <v>55.73</v>
      </c>
      <c r="I85" s="240">
        <f>I411+I971+I1137</f>
        <v>274000</v>
      </c>
      <c r="J85" s="116">
        <f t="shared" si="17"/>
        <v>1565816</v>
      </c>
      <c r="K85" s="229">
        <f>K411+K971+K1137</f>
        <v>1659764.96</v>
      </c>
      <c r="L85" s="109">
        <f>L411+L971+L1137</f>
        <v>1759350.8576</v>
      </c>
    </row>
    <row r="86" spans="1:12" x14ac:dyDescent="0.2">
      <c r="A86" s="5" t="s">
        <v>138</v>
      </c>
      <c r="B86" s="7" t="s">
        <v>139</v>
      </c>
      <c r="C86" s="29">
        <v>66286</v>
      </c>
      <c r="D86" s="11">
        <v>1144</v>
      </c>
      <c r="E86" s="9">
        <v>0</v>
      </c>
      <c r="F86" s="11">
        <v>2864.57</v>
      </c>
      <c r="G86" s="9">
        <f t="shared" si="28"/>
        <v>63421.43</v>
      </c>
      <c r="H86" s="11">
        <v>4.32</v>
      </c>
      <c r="I86" s="240">
        <f>I972+I1138</f>
        <v>0</v>
      </c>
      <c r="J86" s="116">
        <f t="shared" si="17"/>
        <v>66286</v>
      </c>
      <c r="K86" s="229">
        <f>K972+K1138</f>
        <v>70263.16</v>
      </c>
      <c r="L86" s="109">
        <f>L972+L1138</f>
        <v>74478.949600000007</v>
      </c>
    </row>
    <row r="87" spans="1:12" x14ac:dyDescent="0.2">
      <c r="A87" s="5" t="s">
        <v>141</v>
      </c>
      <c r="B87" s="7" t="s">
        <v>142</v>
      </c>
      <c r="C87" s="29">
        <v>100000</v>
      </c>
      <c r="D87" s="11">
        <v>0</v>
      </c>
      <c r="E87" s="9">
        <v>74500</v>
      </c>
      <c r="F87" s="11">
        <v>0</v>
      </c>
      <c r="G87" s="9">
        <f t="shared" si="28"/>
        <v>25500</v>
      </c>
      <c r="H87" s="11">
        <v>0</v>
      </c>
      <c r="I87" s="240">
        <f>I548</f>
        <v>-100000</v>
      </c>
      <c r="J87" s="116">
        <f t="shared" si="17"/>
        <v>0</v>
      </c>
      <c r="K87" s="229">
        <f>K548</f>
        <v>0</v>
      </c>
      <c r="L87" s="109">
        <f>L548</f>
        <v>0</v>
      </c>
    </row>
    <row r="88" spans="1:12" x14ac:dyDescent="0.2">
      <c r="A88" s="5" t="s">
        <v>143</v>
      </c>
      <c r="B88" s="7" t="s">
        <v>144</v>
      </c>
      <c r="C88" s="29">
        <v>60000</v>
      </c>
      <c r="D88" s="11">
        <v>0</v>
      </c>
      <c r="E88" s="9">
        <v>0</v>
      </c>
      <c r="F88" s="11">
        <v>46179.9</v>
      </c>
      <c r="G88" s="9">
        <f t="shared" si="28"/>
        <v>13820.099999999999</v>
      </c>
      <c r="H88" s="11">
        <v>76.959999999999994</v>
      </c>
      <c r="I88" s="240">
        <f>I412</f>
        <v>52045.27</v>
      </c>
      <c r="J88" s="116">
        <f t="shared" si="17"/>
        <v>112045.26999999999</v>
      </c>
      <c r="K88" s="229">
        <f>K412</f>
        <v>118767.98619999998</v>
      </c>
      <c r="L88" s="109">
        <f>L412</f>
        <v>125894.06537199998</v>
      </c>
    </row>
    <row r="89" spans="1:12" x14ac:dyDescent="0.2">
      <c r="A89" s="5" t="s">
        <v>145</v>
      </c>
      <c r="B89" s="7" t="s">
        <v>146</v>
      </c>
      <c r="C89" s="29">
        <v>900000</v>
      </c>
      <c r="D89" s="11">
        <v>0</v>
      </c>
      <c r="E89" s="9">
        <v>0</v>
      </c>
      <c r="F89" s="11">
        <v>247043.77</v>
      </c>
      <c r="G89" s="9">
        <f t="shared" si="28"/>
        <v>652956.23</v>
      </c>
      <c r="H89" s="11">
        <v>27.44</v>
      </c>
      <c r="I89" s="240">
        <f>I549</f>
        <v>0</v>
      </c>
      <c r="J89" s="116">
        <f t="shared" si="17"/>
        <v>900000</v>
      </c>
      <c r="K89" s="229">
        <f>K549</f>
        <v>954000</v>
      </c>
      <c r="L89" s="109">
        <f>L549</f>
        <v>1011240</v>
      </c>
    </row>
    <row r="90" spans="1:12" x14ac:dyDescent="0.2">
      <c r="A90" s="5" t="s">
        <v>148</v>
      </c>
      <c r="B90" s="7" t="s">
        <v>149</v>
      </c>
      <c r="C90" s="29">
        <v>1000000</v>
      </c>
      <c r="D90" s="11">
        <v>0</v>
      </c>
      <c r="E90" s="9">
        <v>0</v>
      </c>
      <c r="F90" s="11">
        <v>839840.11</v>
      </c>
      <c r="G90" s="9">
        <f t="shared" si="28"/>
        <v>160159.89000000001</v>
      </c>
      <c r="H90" s="11">
        <v>83.98</v>
      </c>
      <c r="I90" s="240">
        <f>I830</f>
        <v>-110000</v>
      </c>
      <c r="J90" s="116">
        <f t="shared" si="17"/>
        <v>890000</v>
      </c>
      <c r="K90" s="229">
        <f>K830</f>
        <v>943400</v>
      </c>
      <c r="L90" s="109">
        <f>L830</f>
        <v>1000004</v>
      </c>
    </row>
    <row r="91" spans="1:12" x14ac:dyDescent="0.2">
      <c r="A91" s="5" t="s">
        <v>150</v>
      </c>
      <c r="B91" s="7" t="s">
        <v>151</v>
      </c>
      <c r="C91" s="29">
        <v>26450</v>
      </c>
      <c r="D91" s="11">
        <v>1378.77</v>
      </c>
      <c r="E91" s="9">
        <v>0</v>
      </c>
      <c r="F91" s="11">
        <v>18046.93</v>
      </c>
      <c r="G91" s="9">
        <f t="shared" si="28"/>
        <v>8403.07</v>
      </c>
      <c r="H91" s="11">
        <v>68.23</v>
      </c>
      <c r="I91" s="240">
        <f>I831</f>
        <v>0</v>
      </c>
      <c r="J91" s="116">
        <f t="shared" si="17"/>
        <v>26450</v>
      </c>
      <c r="K91" s="229">
        <f>K831</f>
        <v>28037</v>
      </c>
      <c r="L91" s="109">
        <f>L831</f>
        <v>29719.22</v>
      </c>
    </row>
    <row r="92" spans="1:12" x14ac:dyDescent="0.2">
      <c r="A92" s="5" t="s">
        <v>152</v>
      </c>
      <c r="B92" s="7" t="s">
        <v>153</v>
      </c>
      <c r="C92" s="29">
        <v>500000</v>
      </c>
      <c r="D92" s="11">
        <v>0</v>
      </c>
      <c r="E92" s="9">
        <v>0</v>
      </c>
      <c r="F92" s="11">
        <v>0</v>
      </c>
      <c r="G92" s="9">
        <f t="shared" ref="G92:G130" si="29">C92-E92-F92</f>
        <v>500000</v>
      </c>
      <c r="H92" s="11">
        <v>0</v>
      </c>
      <c r="I92" s="240">
        <f>I550</f>
        <v>0</v>
      </c>
      <c r="J92" s="116">
        <f t="shared" si="17"/>
        <v>500000</v>
      </c>
      <c r="K92" s="229">
        <f t="shared" ref="K92:L94" si="30">K550</f>
        <v>0</v>
      </c>
      <c r="L92" s="109">
        <f t="shared" si="30"/>
        <v>0</v>
      </c>
    </row>
    <row r="93" spans="1:12" x14ac:dyDescent="0.2">
      <c r="A93" s="5" t="s">
        <v>154</v>
      </c>
      <c r="B93" s="7" t="s">
        <v>155</v>
      </c>
      <c r="C93" s="29">
        <v>350000</v>
      </c>
      <c r="D93" s="11">
        <v>26400</v>
      </c>
      <c r="E93" s="9">
        <v>0</v>
      </c>
      <c r="F93" s="11">
        <v>158400</v>
      </c>
      <c r="G93" s="9">
        <f t="shared" si="29"/>
        <v>191600</v>
      </c>
      <c r="H93" s="11">
        <v>45.25</v>
      </c>
      <c r="I93" s="240">
        <f>I551</f>
        <v>86550</v>
      </c>
      <c r="J93" s="116">
        <f t="shared" si="17"/>
        <v>436550</v>
      </c>
      <c r="K93" s="229">
        <f t="shared" si="30"/>
        <v>462743</v>
      </c>
      <c r="L93" s="109">
        <f t="shared" si="30"/>
        <v>490507.58</v>
      </c>
    </row>
    <row r="94" spans="1:12" x14ac:dyDescent="0.2">
      <c r="A94" s="5" t="s">
        <v>156</v>
      </c>
      <c r="B94" s="7" t="s">
        <v>157</v>
      </c>
      <c r="C94" s="29">
        <v>350000</v>
      </c>
      <c r="D94" s="11">
        <v>0</v>
      </c>
      <c r="E94" s="9">
        <v>0</v>
      </c>
      <c r="F94" s="11">
        <v>0</v>
      </c>
      <c r="G94" s="9">
        <f t="shared" si="29"/>
        <v>350000</v>
      </c>
      <c r="H94" s="11">
        <v>0</v>
      </c>
      <c r="I94" s="240">
        <f>I552</f>
        <v>0</v>
      </c>
      <c r="J94" s="116">
        <f t="shared" si="17"/>
        <v>350000</v>
      </c>
      <c r="K94" s="229">
        <f t="shared" si="30"/>
        <v>0</v>
      </c>
      <c r="L94" s="109">
        <f t="shared" si="30"/>
        <v>0</v>
      </c>
    </row>
    <row r="95" spans="1:12" x14ac:dyDescent="0.2">
      <c r="A95" s="5" t="s">
        <v>158</v>
      </c>
      <c r="B95" s="7" t="s">
        <v>159</v>
      </c>
      <c r="C95" s="29">
        <v>80000</v>
      </c>
      <c r="D95" s="11">
        <v>0</v>
      </c>
      <c r="E95" s="9">
        <v>0</v>
      </c>
      <c r="F95" s="11">
        <v>19120</v>
      </c>
      <c r="G95" s="9">
        <f t="shared" si="29"/>
        <v>60880</v>
      </c>
      <c r="H95" s="11">
        <v>23.9</v>
      </c>
      <c r="I95" s="240">
        <f>I413</f>
        <v>0</v>
      </c>
      <c r="J95" s="116">
        <f t="shared" si="17"/>
        <v>80000</v>
      </c>
      <c r="K95" s="229">
        <f>K413</f>
        <v>84800</v>
      </c>
      <c r="L95" s="109">
        <f>L413</f>
        <v>89888</v>
      </c>
    </row>
    <row r="96" spans="1:12" x14ac:dyDescent="0.2">
      <c r="A96" s="5" t="s">
        <v>160</v>
      </c>
      <c r="B96" s="7" t="s">
        <v>159</v>
      </c>
      <c r="C96" s="29">
        <v>0</v>
      </c>
      <c r="D96" s="11">
        <v>0</v>
      </c>
      <c r="E96" s="9">
        <v>0</v>
      </c>
      <c r="F96" s="11">
        <v>0</v>
      </c>
      <c r="G96" s="9">
        <f t="shared" si="29"/>
        <v>0</v>
      </c>
      <c r="H96" s="11">
        <v>0</v>
      </c>
      <c r="I96" s="240"/>
      <c r="J96" s="116">
        <f t="shared" si="17"/>
        <v>0</v>
      </c>
      <c r="K96" s="169"/>
      <c r="L96" s="162"/>
    </row>
    <row r="97" spans="1:13" x14ac:dyDescent="0.2">
      <c r="A97" s="5" t="s">
        <v>161</v>
      </c>
      <c r="B97" s="7" t="s">
        <v>162</v>
      </c>
      <c r="C97" s="29">
        <v>0</v>
      </c>
      <c r="D97" s="11">
        <v>0</v>
      </c>
      <c r="E97" s="9">
        <v>0</v>
      </c>
      <c r="F97" s="11">
        <v>0</v>
      </c>
      <c r="G97" s="9">
        <f t="shared" si="29"/>
        <v>0</v>
      </c>
      <c r="H97" s="11">
        <v>0</v>
      </c>
      <c r="I97" s="240">
        <f>I553</f>
        <v>0</v>
      </c>
      <c r="J97" s="116">
        <f t="shared" si="17"/>
        <v>0</v>
      </c>
      <c r="K97" s="229">
        <f>K553</f>
        <v>0</v>
      </c>
      <c r="L97" s="109">
        <f>L553</f>
        <v>1000000</v>
      </c>
    </row>
    <row r="98" spans="1:13" x14ac:dyDescent="0.2">
      <c r="A98" s="5" t="s">
        <v>163</v>
      </c>
      <c r="B98" s="7" t="s">
        <v>164</v>
      </c>
      <c r="C98" s="29">
        <v>40000</v>
      </c>
      <c r="D98" s="11">
        <v>500</v>
      </c>
      <c r="E98" s="9">
        <v>0</v>
      </c>
      <c r="F98" s="11">
        <v>3370</v>
      </c>
      <c r="G98" s="9">
        <f t="shared" si="29"/>
        <v>36630</v>
      </c>
      <c r="H98" s="11">
        <v>8.42</v>
      </c>
      <c r="I98" s="240">
        <f>I554</f>
        <v>0</v>
      </c>
      <c r="J98" s="116">
        <f t="shared" si="17"/>
        <v>40000</v>
      </c>
      <c r="K98" s="229">
        <f>K554</f>
        <v>42400</v>
      </c>
      <c r="L98" s="109">
        <f>L554</f>
        <v>44944</v>
      </c>
    </row>
    <row r="99" spans="1:13" x14ac:dyDescent="0.2">
      <c r="A99" s="5" t="s">
        <v>165</v>
      </c>
      <c r="B99" s="7" t="s">
        <v>166</v>
      </c>
      <c r="C99" s="29">
        <v>600000</v>
      </c>
      <c r="D99" s="11">
        <v>240948.19</v>
      </c>
      <c r="E99" s="9">
        <v>0</v>
      </c>
      <c r="F99" s="11">
        <v>240948.19</v>
      </c>
      <c r="G99" s="9">
        <f t="shared" si="29"/>
        <v>359051.81</v>
      </c>
      <c r="H99" s="11">
        <v>40.15</v>
      </c>
      <c r="I99" s="240">
        <f>I665</f>
        <v>130000</v>
      </c>
      <c r="J99" s="116">
        <f t="shared" si="17"/>
        <v>730000</v>
      </c>
      <c r="K99" s="229">
        <f>K665</f>
        <v>773800</v>
      </c>
      <c r="L99" s="109">
        <f>L665</f>
        <v>820228</v>
      </c>
    </row>
    <row r="100" spans="1:13" x14ac:dyDescent="0.2">
      <c r="A100" s="5" t="s">
        <v>167</v>
      </c>
      <c r="B100" s="7" t="s">
        <v>168</v>
      </c>
      <c r="C100" s="29">
        <v>103081</v>
      </c>
      <c r="D100" s="11">
        <v>0</v>
      </c>
      <c r="E100" s="9">
        <v>0</v>
      </c>
      <c r="F100" s="11">
        <v>18348.5</v>
      </c>
      <c r="G100" s="9">
        <f t="shared" si="29"/>
        <v>84732.5</v>
      </c>
      <c r="H100" s="11">
        <v>17.8</v>
      </c>
      <c r="I100" s="240">
        <f>I414</f>
        <v>0</v>
      </c>
      <c r="J100" s="116">
        <f t="shared" si="17"/>
        <v>103081</v>
      </c>
      <c r="K100" s="229">
        <f>K414</f>
        <v>109265.86</v>
      </c>
      <c r="L100" s="109">
        <f>L414</f>
        <v>115821.8116</v>
      </c>
    </row>
    <row r="101" spans="1:13" x14ac:dyDescent="0.2">
      <c r="A101" s="5" t="s">
        <v>169</v>
      </c>
      <c r="B101" s="7" t="s">
        <v>170</v>
      </c>
      <c r="C101" s="29">
        <v>52900</v>
      </c>
      <c r="D101" s="11">
        <v>0</v>
      </c>
      <c r="E101" s="9">
        <v>0</v>
      </c>
      <c r="F101" s="11">
        <v>36129.01</v>
      </c>
      <c r="G101" s="9">
        <f t="shared" si="29"/>
        <v>16770.989999999998</v>
      </c>
      <c r="H101" s="11">
        <v>68.290000000000006</v>
      </c>
      <c r="I101" s="240">
        <f>I749</f>
        <v>0</v>
      </c>
      <c r="J101" s="116">
        <f t="shared" si="17"/>
        <v>52900</v>
      </c>
      <c r="K101" s="229">
        <f>K749</f>
        <v>56074</v>
      </c>
      <c r="L101" s="109">
        <f>L749</f>
        <v>59438.44</v>
      </c>
    </row>
    <row r="102" spans="1:13" x14ac:dyDescent="0.2">
      <c r="A102" s="5" t="s">
        <v>172</v>
      </c>
      <c r="B102" s="7" t="s">
        <v>173</v>
      </c>
      <c r="C102" s="29">
        <v>107500</v>
      </c>
      <c r="D102" s="11">
        <v>14131.51</v>
      </c>
      <c r="E102" s="9">
        <v>42588.5</v>
      </c>
      <c r="F102" s="11">
        <v>50222.44</v>
      </c>
      <c r="G102" s="9">
        <f t="shared" si="29"/>
        <v>14689.059999999998</v>
      </c>
      <c r="H102" s="11">
        <v>46.71</v>
      </c>
      <c r="I102" s="240">
        <f>I415+I973</f>
        <v>30000</v>
      </c>
      <c r="J102" s="116">
        <f t="shared" si="17"/>
        <v>137500</v>
      </c>
      <c r="K102" s="229">
        <f>K415+K973</f>
        <v>145750</v>
      </c>
      <c r="L102" s="109">
        <f>L415+L973</f>
        <v>154495</v>
      </c>
    </row>
    <row r="103" spans="1:13" x14ac:dyDescent="0.2">
      <c r="A103" s="5" t="s">
        <v>174</v>
      </c>
      <c r="B103" s="7" t="s">
        <v>175</v>
      </c>
      <c r="C103" s="29">
        <v>70000</v>
      </c>
      <c r="D103" s="11">
        <v>0</v>
      </c>
      <c r="E103" s="9">
        <v>0</v>
      </c>
      <c r="F103" s="11">
        <v>0</v>
      </c>
      <c r="G103" s="9">
        <f t="shared" si="29"/>
        <v>70000</v>
      </c>
      <c r="H103" s="11">
        <v>0</v>
      </c>
      <c r="I103" s="240">
        <f>I1141</f>
        <v>0</v>
      </c>
      <c r="J103" s="116">
        <f t="shared" si="17"/>
        <v>70000</v>
      </c>
      <c r="K103" s="229">
        <f>K1141</f>
        <v>74200</v>
      </c>
      <c r="L103" s="109">
        <f>L1141</f>
        <v>78652</v>
      </c>
    </row>
    <row r="104" spans="1:13" x14ac:dyDescent="0.2">
      <c r="A104" s="5" t="s">
        <v>176</v>
      </c>
      <c r="B104" s="7" t="s">
        <v>177</v>
      </c>
      <c r="C104" s="29">
        <v>500000</v>
      </c>
      <c r="D104" s="11">
        <v>0</v>
      </c>
      <c r="E104" s="9">
        <v>0</v>
      </c>
      <c r="F104" s="11">
        <v>188221.99</v>
      </c>
      <c r="G104" s="9">
        <f t="shared" si="29"/>
        <v>311778.01</v>
      </c>
      <c r="H104" s="11">
        <v>37.64</v>
      </c>
      <c r="I104" s="240">
        <f>I416</f>
        <v>100000</v>
      </c>
      <c r="J104" s="116">
        <f t="shared" si="17"/>
        <v>600000</v>
      </c>
      <c r="K104" s="229">
        <f>K416</f>
        <v>636000</v>
      </c>
      <c r="L104" s="109">
        <f>L416</f>
        <v>674160</v>
      </c>
    </row>
    <row r="105" spans="1:13" x14ac:dyDescent="0.2">
      <c r="A105" s="5" t="s">
        <v>178</v>
      </c>
      <c r="B105" s="7" t="s">
        <v>179</v>
      </c>
      <c r="C105" s="29">
        <v>88957</v>
      </c>
      <c r="D105" s="11">
        <v>0</v>
      </c>
      <c r="E105" s="9">
        <v>0</v>
      </c>
      <c r="F105" s="11">
        <v>3900</v>
      </c>
      <c r="G105" s="9">
        <f t="shared" si="29"/>
        <v>85057</v>
      </c>
      <c r="H105" s="11">
        <v>4.38</v>
      </c>
      <c r="I105" s="240">
        <f>I750</f>
        <v>-50000</v>
      </c>
      <c r="J105" s="116">
        <f t="shared" si="17"/>
        <v>38957</v>
      </c>
      <c r="K105" s="229">
        <f>K750</f>
        <v>41294.42</v>
      </c>
      <c r="L105" s="109">
        <f>L750</f>
        <v>43772.085200000001</v>
      </c>
    </row>
    <row r="106" spans="1:13" x14ac:dyDescent="0.2">
      <c r="A106" s="5" t="s">
        <v>180</v>
      </c>
      <c r="B106" s="7" t="s">
        <v>181</v>
      </c>
      <c r="C106" s="29">
        <v>41187</v>
      </c>
      <c r="D106" s="11">
        <v>0</v>
      </c>
      <c r="E106" s="9">
        <v>0</v>
      </c>
      <c r="F106" s="11">
        <v>0</v>
      </c>
      <c r="G106" s="9">
        <f t="shared" si="29"/>
        <v>41187</v>
      </c>
      <c r="H106" s="11">
        <v>0</v>
      </c>
      <c r="I106" s="240">
        <f>I751</f>
        <v>-40000</v>
      </c>
      <c r="J106" s="116">
        <f t="shared" si="17"/>
        <v>1187</v>
      </c>
      <c r="K106" s="229">
        <f>K751</f>
        <v>1258.22</v>
      </c>
      <c r="L106" s="109">
        <f>L751</f>
        <v>1333.7132000000001</v>
      </c>
    </row>
    <row r="107" spans="1:13" x14ac:dyDescent="0.2">
      <c r="A107" s="5" t="s">
        <v>182</v>
      </c>
      <c r="B107" s="7" t="s">
        <v>183</v>
      </c>
      <c r="C107" s="29">
        <v>0</v>
      </c>
      <c r="D107" s="11">
        <v>0</v>
      </c>
      <c r="E107" s="9">
        <v>0</v>
      </c>
      <c r="F107" s="11">
        <v>0</v>
      </c>
      <c r="G107" s="9">
        <f t="shared" si="29"/>
        <v>0</v>
      </c>
      <c r="H107" s="11">
        <v>0</v>
      </c>
      <c r="I107" s="240"/>
      <c r="J107" s="116">
        <f t="shared" si="17"/>
        <v>0</v>
      </c>
      <c r="K107" s="229"/>
      <c r="L107" s="109"/>
    </row>
    <row r="108" spans="1:13" x14ac:dyDescent="0.2">
      <c r="A108" s="5" t="s">
        <v>184</v>
      </c>
      <c r="B108" s="7" t="s">
        <v>185</v>
      </c>
      <c r="C108" s="29">
        <v>0</v>
      </c>
      <c r="D108" s="11">
        <v>0</v>
      </c>
      <c r="E108" s="9">
        <v>0</v>
      </c>
      <c r="F108" s="11">
        <v>0</v>
      </c>
      <c r="G108" s="9">
        <f t="shared" si="29"/>
        <v>0</v>
      </c>
      <c r="H108" s="11">
        <v>0</v>
      </c>
      <c r="I108" s="240"/>
      <c r="J108" s="116">
        <f t="shared" si="17"/>
        <v>0</v>
      </c>
      <c r="K108" s="169"/>
      <c r="L108" s="162"/>
    </row>
    <row r="109" spans="1:13" x14ac:dyDescent="0.2">
      <c r="A109" s="5" t="s">
        <v>186</v>
      </c>
      <c r="B109" s="7" t="s">
        <v>187</v>
      </c>
      <c r="C109" s="29">
        <v>3279</v>
      </c>
      <c r="D109" s="11">
        <v>0</v>
      </c>
      <c r="E109" s="9">
        <v>0</v>
      </c>
      <c r="F109" s="11">
        <v>0</v>
      </c>
      <c r="G109" s="9">
        <f t="shared" si="29"/>
        <v>3279</v>
      </c>
      <c r="H109" s="11">
        <v>0</v>
      </c>
      <c r="I109" s="240">
        <f>I417+I974+I1142+I1399</f>
        <v>5221</v>
      </c>
      <c r="J109" s="116">
        <f t="shared" si="17"/>
        <v>8500</v>
      </c>
      <c r="K109" s="229">
        <f>K417+K974+K1142+K1399</f>
        <v>9010</v>
      </c>
      <c r="L109" s="109">
        <f>L417+L974+L1142+L1399</f>
        <v>9550.6</v>
      </c>
    </row>
    <row r="110" spans="1:13" x14ac:dyDescent="0.2">
      <c r="A110" s="5" t="s">
        <v>188</v>
      </c>
      <c r="B110" s="7" t="s">
        <v>189</v>
      </c>
      <c r="C110" s="29">
        <v>0</v>
      </c>
      <c r="D110" s="11">
        <v>0</v>
      </c>
      <c r="E110" s="9">
        <v>0</v>
      </c>
      <c r="F110" s="11">
        <v>0</v>
      </c>
      <c r="G110" s="9">
        <f t="shared" si="29"/>
        <v>0</v>
      </c>
      <c r="H110" s="11">
        <v>0</v>
      </c>
      <c r="I110" s="240"/>
      <c r="J110" s="116">
        <f t="shared" si="17"/>
        <v>0</v>
      </c>
      <c r="K110" s="169"/>
      <c r="L110" s="162"/>
    </row>
    <row r="111" spans="1:13" s="115" customFormat="1" x14ac:dyDescent="0.2">
      <c r="A111" s="110"/>
      <c r="B111" s="111" t="s">
        <v>1028</v>
      </c>
      <c r="C111" s="112">
        <f>C555</f>
        <v>0</v>
      </c>
      <c r="D111" s="113">
        <f>D555</f>
        <v>0</v>
      </c>
      <c r="E111" s="112">
        <f>E555</f>
        <v>0</v>
      </c>
      <c r="F111" s="113">
        <f>F555</f>
        <v>0</v>
      </c>
      <c r="G111" s="112">
        <f>G555</f>
        <v>0</v>
      </c>
      <c r="H111" s="113">
        <v>0</v>
      </c>
      <c r="I111" s="161">
        <f>I555</f>
        <v>0</v>
      </c>
      <c r="J111" s="116">
        <f t="shared" si="17"/>
        <v>0</v>
      </c>
      <c r="K111" s="112">
        <f>K555</f>
        <v>0</v>
      </c>
      <c r="L111" s="113">
        <f>L555</f>
        <v>1700000</v>
      </c>
      <c r="M111" s="114"/>
    </row>
    <row r="112" spans="1:13" s="258" customFormat="1" x14ac:dyDescent="0.2">
      <c r="A112" s="253" t="s">
        <v>190</v>
      </c>
      <c r="B112" s="254" t="s">
        <v>191</v>
      </c>
      <c r="C112" s="255">
        <v>0</v>
      </c>
      <c r="D112" s="256">
        <v>0</v>
      </c>
      <c r="E112" s="257">
        <v>0</v>
      </c>
      <c r="F112" s="256">
        <v>0</v>
      </c>
      <c r="G112" s="257">
        <f t="shared" si="29"/>
        <v>0</v>
      </c>
      <c r="H112" s="256">
        <v>0</v>
      </c>
      <c r="I112" s="32">
        <f>I1282</f>
        <v>100000</v>
      </c>
      <c r="J112" s="32">
        <f t="shared" ref="J112:L112" si="31">J1282</f>
        <v>100000</v>
      </c>
      <c r="K112" s="32">
        <f t="shared" si="31"/>
        <v>106000</v>
      </c>
      <c r="L112" s="32">
        <f t="shared" si="31"/>
        <v>112360</v>
      </c>
    </row>
    <row r="113" spans="1:13" s="115" customFormat="1" x14ac:dyDescent="0.2">
      <c r="A113" s="110"/>
      <c r="B113" s="111" t="s">
        <v>1029</v>
      </c>
      <c r="C113" s="112">
        <f>C556</f>
        <v>0</v>
      </c>
      <c r="D113" s="113">
        <f>D556</f>
        <v>0</v>
      </c>
      <c r="E113" s="112">
        <f>E556</f>
        <v>0</v>
      </c>
      <c r="F113" s="113">
        <f>F556</f>
        <v>0</v>
      </c>
      <c r="G113" s="112">
        <f>G556</f>
        <v>0</v>
      </c>
      <c r="H113" s="113">
        <v>0</v>
      </c>
      <c r="I113" s="161">
        <f>I556</f>
        <v>0</v>
      </c>
      <c r="J113" s="116">
        <f t="shared" si="17"/>
        <v>0</v>
      </c>
      <c r="K113" s="112">
        <f>K556</f>
        <v>0</v>
      </c>
      <c r="L113" s="113">
        <f>L556</f>
        <v>400000</v>
      </c>
      <c r="M113" s="114"/>
    </row>
    <row r="114" spans="1:13" x14ac:dyDescent="0.2">
      <c r="A114" s="5" t="s">
        <v>192</v>
      </c>
      <c r="B114" s="7" t="s">
        <v>193</v>
      </c>
      <c r="C114" s="29">
        <v>97739</v>
      </c>
      <c r="D114" s="11">
        <v>16212.81</v>
      </c>
      <c r="E114" s="9">
        <v>7155.14</v>
      </c>
      <c r="F114" s="11">
        <v>59292.06</v>
      </c>
      <c r="G114" s="9">
        <f t="shared" si="29"/>
        <v>31291.800000000003</v>
      </c>
      <c r="H114" s="11">
        <v>60.66</v>
      </c>
      <c r="I114" s="240">
        <f>I1143</f>
        <v>32260</v>
      </c>
      <c r="J114" s="116">
        <f t="shared" si="17"/>
        <v>129999</v>
      </c>
      <c r="K114" s="229">
        <f>K1143</f>
        <v>137798.94</v>
      </c>
      <c r="L114" s="109">
        <f>L1143</f>
        <v>146066.87640000001</v>
      </c>
    </row>
    <row r="115" spans="1:13" x14ac:dyDescent="0.2">
      <c r="A115" s="5" t="s">
        <v>194</v>
      </c>
      <c r="B115" s="7" t="s">
        <v>195</v>
      </c>
      <c r="C115" s="29">
        <v>84640</v>
      </c>
      <c r="D115" s="11">
        <v>0</v>
      </c>
      <c r="E115" s="9">
        <v>0</v>
      </c>
      <c r="F115" s="11">
        <v>16500</v>
      </c>
      <c r="G115" s="9">
        <f t="shared" si="29"/>
        <v>68140</v>
      </c>
      <c r="H115" s="11">
        <v>19.489999999999998</v>
      </c>
      <c r="I115" s="240">
        <f>I1144</f>
        <v>0</v>
      </c>
      <c r="J115" s="116">
        <f t="shared" si="17"/>
        <v>84640</v>
      </c>
      <c r="K115" s="229">
        <f>K1144</f>
        <v>89718.399999999994</v>
      </c>
      <c r="L115" s="109">
        <f>L1144</f>
        <v>95101.503999999986</v>
      </c>
    </row>
    <row r="116" spans="1:13" x14ac:dyDescent="0.2">
      <c r="A116" s="5" t="s">
        <v>196</v>
      </c>
      <c r="B116" s="7" t="s">
        <v>197</v>
      </c>
      <c r="C116" s="29">
        <v>300000</v>
      </c>
      <c r="D116" s="11">
        <v>0</v>
      </c>
      <c r="E116" s="9">
        <v>0</v>
      </c>
      <c r="F116" s="11">
        <v>8172.45</v>
      </c>
      <c r="G116" s="9">
        <f t="shared" si="29"/>
        <v>291827.55</v>
      </c>
      <c r="H116" s="11">
        <v>2.72</v>
      </c>
      <c r="I116" s="240">
        <f>I666</f>
        <v>-50000</v>
      </c>
      <c r="J116" s="116">
        <f t="shared" si="17"/>
        <v>250000</v>
      </c>
      <c r="K116" s="229">
        <f>K666</f>
        <v>265000</v>
      </c>
      <c r="L116" s="109">
        <f>L666</f>
        <v>280900</v>
      </c>
    </row>
    <row r="117" spans="1:13" x14ac:dyDescent="0.2">
      <c r="A117" s="5" t="s">
        <v>198</v>
      </c>
      <c r="B117" s="7" t="s">
        <v>199</v>
      </c>
      <c r="C117" s="29">
        <v>277990</v>
      </c>
      <c r="D117" s="11">
        <v>0</v>
      </c>
      <c r="E117" s="9">
        <v>0</v>
      </c>
      <c r="F117" s="11">
        <v>164341.4</v>
      </c>
      <c r="G117" s="9">
        <f t="shared" si="29"/>
        <v>113648.6</v>
      </c>
      <c r="H117" s="11">
        <v>59.11</v>
      </c>
      <c r="I117" s="240">
        <f>I418</f>
        <v>50000</v>
      </c>
      <c r="J117" s="116">
        <f t="shared" si="17"/>
        <v>327990</v>
      </c>
      <c r="K117" s="229">
        <f>K418</f>
        <v>347669.4</v>
      </c>
      <c r="L117" s="109">
        <f>L418</f>
        <v>368529.56400000001</v>
      </c>
    </row>
    <row r="118" spans="1:13" s="258" customFormat="1" x14ac:dyDescent="0.2">
      <c r="A118" s="253" t="s">
        <v>200</v>
      </c>
      <c r="B118" s="254" t="s">
        <v>201</v>
      </c>
      <c r="C118" s="255">
        <v>0</v>
      </c>
      <c r="D118" s="256">
        <v>0</v>
      </c>
      <c r="E118" s="257">
        <v>0</v>
      </c>
      <c r="F118" s="256">
        <v>0</v>
      </c>
      <c r="G118" s="257">
        <f t="shared" si="29"/>
        <v>0</v>
      </c>
      <c r="H118" s="256">
        <v>0</v>
      </c>
      <c r="I118" s="32"/>
      <c r="J118" s="307">
        <f t="shared" si="17"/>
        <v>0</v>
      </c>
      <c r="K118" s="225"/>
      <c r="L118" s="227"/>
    </row>
    <row r="119" spans="1:13" x14ac:dyDescent="0.2">
      <c r="A119" s="5" t="s">
        <v>202</v>
      </c>
      <c r="B119" s="7" t="s">
        <v>203</v>
      </c>
      <c r="C119" s="29">
        <v>250000</v>
      </c>
      <c r="D119" s="11">
        <v>99061.61</v>
      </c>
      <c r="E119" s="9">
        <v>86471.4</v>
      </c>
      <c r="F119" s="11">
        <v>99061.61</v>
      </c>
      <c r="G119" s="9">
        <f t="shared" si="29"/>
        <v>64466.990000000005</v>
      </c>
      <c r="H119" s="11">
        <v>39.619999999999997</v>
      </c>
      <c r="I119" s="240">
        <f>I667</f>
        <v>231769</v>
      </c>
      <c r="J119" s="116">
        <f t="shared" si="17"/>
        <v>481769</v>
      </c>
      <c r="K119" s="229">
        <f>K667</f>
        <v>510675.14</v>
      </c>
      <c r="L119" s="109">
        <f>L667</f>
        <v>541315.64840000006</v>
      </c>
    </row>
    <row r="120" spans="1:13" x14ac:dyDescent="0.2">
      <c r="A120" s="5" t="s">
        <v>204</v>
      </c>
      <c r="B120" s="7" t="s">
        <v>205</v>
      </c>
      <c r="C120" s="29">
        <v>423200</v>
      </c>
      <c r="D120" s="11">
        <v>0</v>
      </c>
      <c r="E120" s="9">
        <v>0</v>
      </c>
      <c r="F120" s="11">
        <v>0</v>
      </c>
      <c r="G120" s="9">
        <f t="shared" si="29"/>
        <v>423200</v>
      </c>
      <c r="H120" s="11">
        <v>0</v>
      </c>
      <c r="I120" s="240">
        <f>I419+I975+I1145+I668</f>
        <v>-65220</v>
      </c>
      <c r="J120" s="116">
        <f t="shared" si="17"/>
        <v>357980</v>
      </c>
      <c r="K120" s="229">
        <f>K419+K975+K1145+K668</f>
        <v>479915.9</v>
      </c>
      <c r="L120" s="109">
        <f>L419+L975+L1145+L668</f>
        <v>508710.85400000005</v>
      </c>
    </row>
    <row r="121" spans="1:13" x14ac:dyDescent="0.2">
      <c r="A121" s="5" t="s">
        <v>206</v>
      </c>
      <c r="B121" s="7" t="s">
        <v>207</v>
      </c>
      <c r="C121" s="29">
        <v>800000</v>
      </c>
      <c r="D121" s="11">
        <v>22753.51</v>
      </c>
      <c r="E121" s="9">
        <v>11560</v>
      </c>
      <c r="F121" s="11">
        <v>216785.51</v>
      </c>
      <c r="G121" s="9">
        <f t="shared" si="29"/>
        <v>571654.49</v>
      </c>
      <c r="H121" s="11">
        <v>27.09</v>
      </c>
      <c r="I121" s="240">
        <f>I669</f>
        <v>0</v>
      </c>
      <c r="J121" s="116">
        <f t="shared" ref="J121:J162" si="32">C121+I121</f>
        <v>800000</v>
      </c>
      <c r="K121" s="229">
        <f>K669</f>
        <v>848000</v>
      </c>
      <c r="L121" s="109">
        <f>L669</f>
        <v>898880</v>
      </c>
    </row>
    <row r="122" spans="1:13" x14ac:dyDescent="0.2">
      <c r="A122" s="5" t="s">
        <v>208</v>
      </c>
      <c r="B122" s="7" t="s">
        <v>209</v>
      </c>
      <c r="C122" s="29">
        <v>21160</v>
      </c>
      <c r="D122" s="11">
        <v>0</v>
      </c>
      <c r="E122" s="9">
        <v>0</v>
      </c>
      <c r="F122" s="11">
        <v>0</v>
      </c>
      <c r="G122" s="9">
        <f t="shared" si="29"/>
        <v>21160</v>
      </c>
      <c r="H122" s="11">
        <v>0</v>
      </c>
      <c r="I122" s="240">
        <f>I976</f>
        <v>0</v>
      </c>
      <c r="J122" s="116">
        <f t="shared" si="32"/>
        <v>21160</v>
      </c>
      <c r="K122" s="229">
        <f>K976</f>
        <v>22429.599999999999</v>
      </c>
      <c r="L122" s="109">
        <f>L976</f>
        <v>23775.375999999997</v>
      </c>
    </row>
    <row r="123" spans="1:13" x14ac:dyDescent="0.2">
      <c r="A123" s="5" t="s">
        <v>210</v>
      </c>
      <c r="B123" s="7" t="s">
        <v>211</v>
      </c>
      <c r="C123" s="29">
        <v>2000</v>
      </c>
      <c r="D123" s="11">
        <v>0</v>
      </c>
      <c r="E123" s="9">
        <v>0</v>
      </c>
      <c r="F123" s="11">
        <v>1976</v>
      </c>
      <c r="G123" s="9">
        <f t="shared" si="29"/>
        <v>24</v>
      </c>
      <c r="H123" s="11">
        <v>98.8</v>
      </c>
      <c r="I123" s="240">
        <f>I752</f>
        <v>0</v>
      </c>
      <c r="J123" s="116">
        <f t="shared" si="32"/>
        <v>2000</v>
      </c>
      <c r="K123" s="229">
        <f t="shared" ref="K123:L125" si="33">K752</f>
        <v>2120</v>
      </c>
      <c r="L123" s="109">
        <f t="shared" si="33"/>
        <v>2247.1999999999998</v>
      </c>
    </row>
    <row r="124" spans="1:13" x14ac:dyDescent="0.2">
      <c r="A124" s="5" t="s">
        <v>212</v>
      </c>
      <c r="B124" s="7" t="s">
        <v>213</v>
      </c>
      <c r="C124" s="29">
        <v>2000</v>
      </c>
      <c r="D124" s="11">
        <v>0</v>
      </c>
      <c r="E124" s="9">
        <v>0</v>
      </c>
      <c r="F124" s="11">
        <v>1944</v>
      </c>
      <c r="G124" s="9">
        <f t="shared" si="29"/>
        <v>56</v>
      </c>
      <c r="H124" s="11">
        <v>97.2</v>
      </c>
      <c r="I124" s="240">
        <f>I753</f>
        <v>0</v>
      </c>
      <c r="J124" s="116">
        <f t="shared" si="32"/>
        <v>2000</v>
      </c>
      <c r="K124" s="229">
        <f t="shared" si="33"/>
        <v>2120</v>
      </c>
      <c r="L124" s="109">
        <f t="shared" si="33"/>
        <v>2247.1999999999998</v>
      </c>
    </row>
    <row r="125" spans="1:13" x14ac:dyDescent="0.2">
      <c r="A125" s="5" t="s">
        <v>214</v>
      </c>
      <c r="B125" s="7" t="s">
        <v>215</v>
      </c>
      <c r="C125" s="29">
        <v>2000</v>
      </c>
      <c r="D125" s="11">
        <v>0</v>
      </c>
      <c r="E125" s="9">
        <v>0</v>
      </c>
      <c r="F125" s="11">
        <v>1944</v>
      </c>
      <c r="G125" s="9">
        <f t="shared" si="29"/>
        <v>56</v>
      </c>
      <c r="H125" s="11">
        <v>97.2</v>
      </c>
      <c r="I125" s="240">
        <f>I754</f>
        <v>0</v>
      </c>
      <c r="J125" s="116">
        <f t="shared" si="32"/>
        <v>2000</v>
      </c>
      <c r="K125" s="229">
        <f t="shared" si="33"/>
        <v>2120</v>
      </c>
      <c r="L125" s="109">
        <f t="shared" si="33"/>
        <v>2247.1999999999998</v>
      </c>
    </row>
    <row r="126" spans="1:13" x14ac:dyDescent="0.2">
      <c r="A126" s="5" t="s">
        <v>216</v>
      </c>
      <c r="B126" s="7" t="s">
        <v>217</v>
      </c>
      <c r="C126" s="29">
        <v>12000</v>
      </c>
      <c r="D126" s="11">
        <v>0</v>
      </c>
      <c r="E126" s="9">
        <v>0</v>
      </c>
      <c r="F126" s="11">
        <v>4439.29</v>
      </c>
      <c r="G126" s="9">
        <f t="shared" si="29"/>
        <v>7560.71</v>
      </c>
      <c r="H126" s="11">
        <v>36.99</v>
      </c>
      <c r="I126" s="240">
        <f>I420+I557+I670+I832+I977+I1146</f>
        <v>-1000</v>
      </c>
      <c r="J126" s="116">
        <f t="shared" si="32"/>
        <v>11000</v>
      </c>
      <c r="K126" s="229">
        <f>K420+K557+K670+K832+K977+K1146</f>
        <v>11660</v>
      </c>
      <c r="L126" s="109">
        <f>L420+L557+L670+L832+L977+L1146</f>
        <v>12359.599999999999</v>
      </c>
    </row>
    <row r="127" spans="1:13" x14ac:dyDescent="0.2">
      <c r="A127" s="5"/>
      <c r="B127" s="7" t="s">
        <v>466</v>
      </c>
      <c r="C127" s="29">
        <v>0</v>
      </c>
      <c r="D127" s="11">
        <v>0</v>
      </c>
      <c r="E127" s="282">
        <v>0</v>
      </c>
      <c r="F127" s="262">
        <v>0</v>
      </c>
      <c r="G127" s="262">
        <f>C127-E127-F127</f>
        <v>0</v>
      </c>
      <c r="H127" s="262">
        <v>0</v>
      </c>
      <c r="I127" s="264">
        <f>I1283</f>
        <v>1000000</v>
      </c>
      <c r="J127" s="264">
        <f t="shared" ref="J127:L127" si="34">J1283</f>
        <v>1000000</v>
      </c>
      <c r="K127" s="264">
        <f t="shared" si="34"/>
        <v>0</v>
      </c>
      <c r="L127" s="264">
        <f t="shared" si="34"/>
        <v>0</v>
      </c>
    </row>
    <row r="128" spans="1:13" x14ac:dyDescent="0.2">
      <c r="A128" s="5" t="s">
        <v>219</v>
      </c>
      <c r="B128" s="7" t="s">
        <v>220</v>
      </c>
      <c r="C128" s="29">
        <v>0</v>
      </c>
      <c r="D128" s="11">
        <v>0</v>
      </c>
      <c r="E128" s="9">
        <v>0</v>
      </c>
      <c r="F128" s="11">
        <v>0</v>
      </c>
      <c r="G128" s="9">
        <f t="shared" si="29"/>
        <v>0</v>
      </c>
      <c r="H128" s="11">
        <v>0</v>
      </c>
      <c r="I128" s="240">
        <f>I421</f>
        <v>5600</v>
      </c>
      <c r="J128" s="116">
        <f t="shared" si="32"/>
        <v>5600</v>
      </c>
      <c r="K128" s="229">
        <f t="shared" ref="K128:L130" si="35">K421</f>
        <v>0</v>
      </c>
      <c r="L128" s="109">
        <f t="shared" si="35"/>
        <v>0</v>
      </c>
    </row>
    <row r="129" spans="1:12" x14ac:dyDescent="0.2">
      <c r="A129" s="5" t="s">
        <v>221</v>
      </c>
      <c r="B129" s="7" t="s">
        <v>222</v>
      </c>
      <c r="C129" s="29">
        <v>182505</v>
      </c>
      <c r="D129" s="11">
        <v>4364.25</v>
      </c>
      <c r="E129" s="9">
        <v>0</v>
      </c>
      <c r="F129" s="11">
        <v>36681.800000000003</v>
      </c>
      <c r="G129" s="9">
        <f t="shared" si="29"/>
        <v>145823.20000000001</v>
      </c>
      <c r="H129" s="11">
        <v>20.09</v>
      </c>
      <c r="I129" s="240">
        <f>I422</f>
        <v>-40000</v>
      </c>
      <c r="J129" s="116">
        <f t="shared" si="32"/>
        <v>142505</v>
      </c>
      <c r="K129" s="229">
        <f t="shared" si="35"/>
        <v>151055.29999999999</v>
      </c>
      <c r="L129" s="109">
        <f t="shared" si="35"/>
        <v>160118.61799999999</v>
      </c>
    </row>
    <row r="130" spans="1:12" x14ac:dyDescent="0.2">
      <c r="A130" s="5" t="s">
        <v>223</v>
      </c>
      <c r="B130" s="7" t="s">
        <v>224</v>
      </c>
      <c r="C130" s="29">
        <v>588226</v>
      </c>
      <c r="D130" s="11">
        <v>45606.37</v>
      </c>
      <c r="E130" s="9">
        <v>0</v>
      </c>
      <c r="F130" s="11">
        <v>227369.74</v>
      </c>
      <c r="G130" s="9">
        <f t="shared" si="29"/>
        <v>360856.26</v>
      </c>
      <c r="H130" s="11">
        <v>38.65</v>
      </c>
      <c r="I130" s="240">
        <f>I423</f>
        <v>-40000</v>
      </c>
      <c r="J130" s="116">
        <f t="shared" si="32"/>
        <v>548226</v>
      </c>
      <c r="K130" s="229">
        <f t="shared" si="35"/>
        <v>581119.56000000006</v>
      </c>
      <c r="L130" s="109">
        <f t="shared" si="35"/>
        <v>615986.73360000004</v>
      </c>
    </row>
    <row r="131" spans="1:12" x14ac:dyDescent="0.2">
      <c r="A131" s="5" t="s">
        <v>225</v>
      </c>
      <c r="B131" s="7" t="s">
        <v>226</v>
      </c>
      <c r="C131" s="29">
        <v>120000</v>
      </c>
      <c r="D131" s="11">
        <v>66999.399999999994</v>
      </c>
      <c r="E131" s="9">
        <v>0</v>
      </c>
      <c r="F131" s="11">
        <v>81699.399999999994</v>
      </c>
      <c r="G131" s="9">
        <f t="shared" ref="G131:G164" si="36">C131-E131-F131</f>
        <v>38300.600000000006</v>
      </c>
      <c r="H131" s="11">
        <v>68.08</v>
      </c>
      <c r="I131" s="240">
        <f>I558</f>
        <v>0</v>
      </c>
      <c r="J131" s="116">
        <f t="shared" si="32"/>
        <v>120000</v>
      </c>
      <c r="K131" s="229">
        <f>K558</f>
        <v>127200</v>
      </c>
      <c r="L131" s="109">
        <f>L558</f>
        <v>134832</v>
      </c>
    </row>
    <row r="132" spans="1:12" x14ac:dyDescent="0.2">
      <c r="A132" s="5" t="s">
        <v>227</v>
      </c>
      <c r="B132" s="7" t="s">
        <v>228</v>
      </c>
      <c r="C132" s="29">
        <v>470000</v>
      </c>
      <c r="D132" s="11">
        <v>0</v>
      </c>
      <c r="E132" s="9">
        <v>0</v>
      </c>
      <c r="F132" s="11">
        <v>0</v>
      </c>
      <c r="G132" s="9">
        <f t="shared" si="36"/>
        <v>470000</v>
      </c>
      <c r="H132" s="11">
        <v>0</v>
      </c>
      <c r="I132" s="240">
        <f>I833</f>
        <v>258376</v>
      </c>
      <c r="J132" s="116">
        <f t="shared" si="32"/>
        <v>728376</v>
      </c>
      <c r="K132" s="229">
        <f t="shared" ref="K132:L134" si="37">K833</f>
        <v>772078.56</v>
      </c>
      <c r="L132" s="109">
        <f t="shared" si="37"/>
        <v>818403.27360000007</v>
      </c>
    </row>
    <row r="133" spans="1:12" x14ac:dyDescent="0.2">
      <c r="A133" s="5" t="s">
        <v>229</v>
      </c>
      <c r="B133" s="7" t="s">
        <v>230</v>
      </c>
      <c r="C133" s="29">
        <v>330000</v>
      </c>
      <c r="D133" s="11">
        <v>0</v>
      </c>
      <c r="E133" s="9">
        <v>0</v>
      </c>
      <c r="F133" s="11">
        <v>0</v>
      </c>
      <c r="G133" s="9">
        <f t="shared" si="36"/>
        <v>330000</v>
      </c>
      <c r="H133" s="11">
        <v>0</v>
      </c>
      <c r="I133" s="240">
        <f>I834</f>
        <v>-208176</v>
      </c>
      <c r="J133" s="116">
        <f t="shared" si="32"/>
        <v>121824</v>
      </c>
      <c r="K133" s="229">
        <f t="shared" si="37"/>
        <v>0</v>
      </c>
      <c r="L133" s="109">
        <f t="shared" si="37"/>
        <v>0</v>
      </c>
    </row>
    <row r="134" spans="1:12" x14ac:dyDescent="0.2">
      <c r="A134" s="5" t="s">
        <v>231</v>
      </c>
      <c r="B134" s="7" t="s">
        <v>232</v>
      </c>
      <c r="C134" s="29">
        <v>500000</v>
      </c>
      <c r="D134" s="11">
        <v>0</v>
      </c>
      <c r="E134" s="9">
        <v>0</v>
      </c>
      <c r="F134" s="11">
        <v>0</v>
      </c>
      <c r="G134" s="9">
        <f t="shared" si="36"/>
        <v>500000</v>
      </c>
      <c r="H134" s="11">
        <v>0</v>
      </c>
      <c r="I134" s="240">
        <f>I835</f>
        <v>-424011</v>
      </c>
      <c r="J134" s="116">
        <f t="shared" si="32"/>
        <v>75989</v>
      </c>
      <c r="K134" s="229">
        <f t="shared" si="37"/>
        <v>1500000</v>
      </c>
      <c r="L134" s="109">
        <f t="shared" si="37"/>
        <v>500000</v>
      </c>
    </row>
    <row r="135" spans="1:12" x14ac:dyDescent="0.2">
      <c r="A135" s="5" t="s">
        <v>233</v>
      </c>
      <c r="B135" s="7" t="s">
        <v>234</v>
      </c>
      <c r="C135" s="29">
        <v>0</v>
      </c>
      <c r="D135" s="11">
        <v>0</v>
      </c>
      <c r="E135" s="9">
        <v>0</v>
      </c>
      <c r="F135" s="11">
        <v>0</v>
      </c>
      <c r="G135" s="9">
        <f t="shared" si="36"/>
        <v>0</v>
      </c>
      <c r="H135" s="11">
        <v>0</v>
      </c>
      <c r="I135" s="240"/>
      <c r="J135" s="116">
        <f t="shared" si="32"/>
        <v>0</v>
      </c>
      <c r="K135" s="169"/>
      <c r="L135" s="162"/>
    </row>
    <row r="136" spans="1:12" x14ac:dyDescent="0.2">
      <c r="A136" s="5" t="s">
        <v>235</v>
      </c>
      <c r="B136" s="7" t="s">
        <v>236</v>
      </c>
      <c r="C136" s="29">
        <v>37030</v>
      </c>
      <c r="D136" s="11">
        <v>2211.7800000000002</v>
      </c>
      <c r="E136" s="9">
        <v>0</v>
      </c>
      <c r="F136" s="11">
        <v>4729.43</v>
      </c>
      <c r="G136" s="9">
        <f t="shared" si="36"/>
        <v>32300.57</v>
      </c>
      <c r="H136" s="11">
        <v>12.77</v>
      </c>
      <c r="I136" s="240">
        <f>I979</f>
        <v>10000</v>
      </c>
      <c r="J136" s="116">
        <f t="shared" si="32"/>
        <v>47030</v>
      </c>
      <c r="K136" s="229">
        <f>K979</f>
        <v>49851.8</v>
      </c>
      <c r="L136" s="109">
        <f>L979</f>
        <v>52842.908000000003</v>
      </c>
    </row>
    <row r="137" spans="1:12" x14ac:dyDescent="0.2">
      <c r="A137" s="5" t="s">
        <v>237</v>
      </c>
      <c r="B137" s="7" t="s">
        <v>238</v>
      </c>
      <c r="C137" s="29">
        <v>250000</v>
      </c>
      <c r="D137" s="11">
        <v>51561.14</v>
      </c>
      <c r="E137" s="9">
        <v>20400</v>
      </c>
      <c r="F137" s="11">
        <v>124227.14</v>
      </c>
      <c r="G137" s="9">
        <f t="shared" si="36"/>
        <v>105372.86</v>
      </c>
      <c r="H137" s="11">
        <v>49.69</v>
      </c>
      <c r="I137" s="240">
        <f>I755</f>
        <v>189771</v>
      </c>
      <c r="J137" s="116">
        <f t="shared" si="32"/>
        <v>439771</v>
      </c>
      <c r="K137" s="229">
        <f>K755</f>
        <v>466157.26</v>
      </c>
      <c r="L137" s="109">
        <f>L755</f>
        <v>494126.69560000004</v>
      </c>
    </row>
    <row r="138" spans="1:12" x14ac:dyDescent="0.2">
      <c r="A138" s="5" t="s">
        <v>239</v>
      </c>
      <c r="B138" s="7" t="s">
        <v>240</v>
      </c>
      <c r="C138" s="29">
        <v>22509</v>
      </c>
      <c r="D138" s="11">
        <v>4000</v>
      </c>
      <c r="E138" s="9">
        <v>7500</v>
      </c>
      <c r="F138" s="11">
        <v>4000</v>
      </c>
      <c r="G138" s="9">
        <f t="shared" si="36"/>
        <v>11009</v>
      </c>
      <c r="H138" s="11">
        <v>17.77</v>
      </c>
      <c r="I138" s="240">
        <f>I980</f>
        <v>0</v>
      </c>
      <c r="J138" s="116">
        <f t="shared" si="32"/>
        <v>22509</v>
      </c>
      <c r="K138" s="229">
        <f>K980</f>
        <v>23859.54</v>
      </c>
      <c r="L138" s="109">
        <f>L980</f>
        <v>25291.112400000002</v>
      </c>
    </row>
    <row r="139" spans="1:12" x14ac:dyDescent="0.2">
      <c r="A139" s="5" t="s">
        <v>241</v>
      </c>
      <c r="B139" s="7" t="s">
        <v>242</v>
      </c>
      <c r="C139" s="29">
        <v>634800</v>
      </c>
      <c r="D139" s="11">
        <v>94276</v>
      </c>
      <c r="E139" s="9">
        <v>32575.439999999999</v>
      </c>
      <c r="F139" s="11">
        <v>406924.09</v>
      </c>
      <c r="G139" s="9">
        <f t="shared" si="36"/>
        <v>195300.47000000003</v>
      </c>
      <c r="H139" s="11">
        <v>64.099999999999994</v>
      </c>
      <c r="I139" s="240">
        <f>I836</f>
        <v>88872</v>
      </c>
      <c r="J139" s="116">
        <f t="shared" si="32"/>
        <v>723672</v>
      </c>
      <c r="K139" s="229">
        <f>K836</f>
        <v>767092.32</v>
      </c>
      <c r="L139" s="109">
        <f>L836</f>
        <v>813117.85919999995</v>
      </c>
    </row>
    <row r="140" spans="1:12" x14ac:dyDescent="0.2">
      <c r="A140" s="5" t="s">
        <v>244</v>
      </c>
      <c r="B140" s="7" t="s">
        <v>245</v>
      </c>
      <c r="C140" s="29">
        <v>106858</v>
      </c>
      <c r="D140" s="11">
        <v>3419.14</v>
      </c>
      <c r="E140" s="9">
        <v>0</v>
      </c>
      <c r="F140" s="11">
        <v>14359.16</v>
      </c>
      <c r="G140" s="9">
        <f t="shared" si="36"/>
        <v>92498.84</v>
      </c>
      <c r="H140" s="11">
        <v>13.43</v>
      </c>
      <c r="I140" s="240">
        <f>I424</f>
        <v>-50000</v>
      </c>
      <c r="J140" s="116">
        <f t="shared" si="32"/>
        <v>56858</v>
      </c>
      <c r="K140" s="229">
        <f t="shared" ref="K140:L142" si="38">K424</f>
        <v>60269.48</v>
      </c>
      <c r="L140" s="109">
        <f t="shared" si="38"/>
        <v>63885.648800000003</v>
      </c>
    </row>
    <row r="141" spans="1:12" x14ac:dyDescent="0.2">
      <c r="A141" s="5" t="s">
        <v>246</v>
      </c>
      <c r="B141" s="7" t="s">
        <v>247</v>
      </c>
      <c r="C141" s="29">
        <v>585000</v>
      </c>
      <c r="D141" s="11">
        <v>0</v>
      </c>
      <c r="E141" s="9">
        <v>0</v>
      </c>
      <c r="F141" s="11">
        <v>112027.64</v>
      </c>
      <c r="G141" s="9">
        <f t="shared" si="36"/>
        <v>472972.36</v>
      </c>
      <c r="H141" s="11">
        <v>19.149999999999999</v>
      </c>
      <c r="I141" s="240">
        <f>I425</f>
        <v>-50000</v>
      </c>
      <c r="J141" s="116">
        <f t="shared" si="32"/>
        <v>535000</v>
      </c>
      <c r="K141" s="229">
        <f t="shared" si="38"/>
        <v>567100</v>
      </c>
      <c r="L141" s="109">
        <f t="shared" si="38"/>
        <v>601126</v>
      </c>
    </row>
    <row r="142" spans="1:12" x14ac:dyDescent="0.2">
      <c r="A142" s="5" t="s">
        <v>249</v>
      </c>
      <c r="B142" s="7" t="s">
        <v>250</v>
      </c>
      <c r="C142" s="29">
        <v>360000</v>
      </c>
      <c r="D142" s="11">
        <v>40910.480000000003</v>
      </c>
      <c r="E142" s="9">
        <v>0</v>
      </c>
      <c r="F142" s="11">
        <v>54712.73</v>
      </c>
      <c r="G142" s="9">
        <f t="shared" si="36"/>
        <v>305287.27</v>
      </c>
      <c r="H142" s="11">
        <v>15.19</v>
      </c>
      <c r="I142" s="240">
        <f>I426</f>
        <v>-45000</v>
      </c>
      <c r="J142" s="116">
        <f t="shared" si="32"/>
        <v>315000</v>
      </c>
      <c r="K142" s="229">
        <f t="shared" si="38"/>
        <v>333900</v>
      </c>
      <c r="L142" s="109">
        <f t="shared" si="38"/>
        <v>353934</v>
      </c>
    </row>
    <row r="143" spans="1:12" x14ac:dyDescent="0.2">
      <c r="A143" s="5"/>
      <c r="B143" s="7" t="s">
        <v>470</v>
      </c>
      <c r="C143" s="29">
        <v>0</v>
      </c>
      <c r="D143" s="11">
        <v>0</v>
      </c>
      <c r="E143" s="9">
        <v>0</v>
      </c>
      <c r="F143" s="11">
        <v>0</v>
      </c>
      <c r="G143" s="9">
        <f t="shared" si="36"/>
        <v>0</v>
      </c>
      <c r="H143" s="11"/>
      <c r="I143" s="240">
        <f>I560</f>
        <v>500000</v>
      </c>
      <c r="J143" s="116">
        <f t="shared" si="32"/>
        <v>500000</v>
      </c>
      <c r="K143" s="229">
        <f>K560</f>
        <v>0</v>
      </c>
      <c r="L143" s="109">
        <f>L560</f>
        <v>0</v>
      </c>
    </row>
    <row r="144" spans="1:12" x14ac:dyDescent="0.2">
      <c r="A144" s="5" t="s">
        <v>251</v>
      </c>
      <c r="B144" s="7" t="s">
        <v>252</v>
      </c>
      <c r="C144" s="29">
        <v>112500</v>
      </c>
      <c r="D144" s="11">
        <v>6973.42</v>
      </c>
      <c r="E144" s="9">
        <v>0</v>
      </c>
      <c r="F144" s="11">
        <v>35195.1</v>
      </c>
      <c r="G144" s="9">
        <f t="shared" si="36"/>
        <v>77304.899999999994</v>
      </c>
      <c r="H144" s="11">
        <v>31.28</v>
      </c>
      <c r="I144" s="240">
        <f>I427</f>
        <v>-10000</v>
      </c>
      <c r="J144" s="116">
        <f t="shared" si="32"/>
        <v>102500</v>
      </c>
      <c r="K144" s="229">
        <f>K427</f>
        <v>108650</v>
      </c>
      <c r="L144" s="109">
        <f>L427</f>
        <v>115169</v>
      </c>
    </row>
    <row r="145" spans="1:12" x14ac:dyDescent="0.2">
      <c r="A145" s="5" t="s">
        <v>253</v>
      </c>
      <c r="B145" s="7" t="s">
        <v>254</v>
      </c>
      <c r="C145" s="29">
        <v>500000</v>
      </c>
      <c r="D145" s="11">
        <v>9800</v>
      </c>
      <c r="E145" s="9">
        <v>59209.58</v>
      </c>
      <c r="F145" s="11">
        <v>74393.740000000005</v>
      </c>
      <c r="G145" s="9">
        <f t="shared" si="36"/>
        <v>366396.68</v>
      </c>
      <c r="H145" s="11">
        <v>14.87</v>
      </c>
      <c r="I145" s="240">
        <f>I428</f>
        <v>0</v>
      </c>
      <c r="J145" s="116">
        <f t="shared" si="32"/>
        <v>500000</v>
      </c>
      <c r="K145" s="240">
        <f>K428</f>
        <v>530000</v>
      </c>
      <c r="L145" s="240">
        <f>L428</f>
        <v>561800</v>
      </c>
    </row>
    <row r="146" spans="1:12" x14ac:dyDescent="0.2">
      <c r="A146" s="5" t="s">
        <v>255</v>
      </c>
      <c r="B146" s="7" t="s">
        <v>256</v>
      </c>
      <c r="C146" s="29">
        <v>300000</v>
      </c>
      <c r="D146" s="11">
        <v>68606.649999999994</v>
      </c>
      <c r="E146" s="9">
        <v>0</v>
      </c>
      <c r="F146" s="11">
        <v>88841.39</v>
      </c>
      <c r="G146" s="9">
        <f t="shared" si="36"/>
        <v>211158.61</v>
      </c>
      <c r="H146" s="11">
        <v>29.61</v>
      </c>
      <c r="I146" s="240">
        <f>I837</f>
        <v>76608</v>
      </c>
      <c r="J146" s="116">
        <f t="shared" si="32"/>
        <v>376608</v>
      </c>
      <c r="K146" s="229">
        <f>K837</f>
        <v>399204.48</v>
      </c>
      <c r="L146" s="109">
        <f>L837</f>
        <v>423156.7488</v>
      </c>
    </row>
    <row r="147" spans="1:12" x14ac:dyDescent="0.2">
      <c r="A147" s="5" t="s">
        <v>257</v>
      </c>
      <c r="B147" s="7" t="s">
        <v>258</v>
      </c>
      <c r="C147" s="29">
        <v>200000</v>
      </c>
      <c r="D147" s="11">
        <v>0</v>
      </c>
      <c r="E147" s="9">
        <v>179000</v>
      </c>
      <c r="F147" s="11">
        <v>0</v>
      </c>
      <c r="G147" s="9">
        <f t="shared" si="36"/>
        <v>21000</v>
      </c>
      <c r="H147" s="11">
        <v>0</v>
      </c>
      <c r="I147" s="240">
        <f>I561</f>
        <v>0</v>
      </c>
      <c r="J147" s="116">
        <f t="shared" si="32"/>
        <v>200000</v>
      </c>
      <c r="K147" s="229">
        <f>K561</f>
        <v>212000</v>
      </c>
      <c r="L147" s="109">
        <f>L561</f>
        <v>224720</v>
      </c>
    </row>
    <row r="148" spans="1:12" x14ac:dyDescent="0.2">
      <c r="A148" s="5" t="s">
        <v>259</v>
      </c>
      <c r="B148" s="7" t="s">
        <v>260</v>
      </c>
      <c r="C148" s="29">
        <v>0</v>
      </c>
      <c r="D148" s="11">
        <v>0</v>
      </c>
      <c r="E148" s="9">
        <v>0</v>
      </c>
      <c r="F148" s="11">
        <v>0</v>
      </c>
      <c r="G148" s="9">
        <f t="shared" si="36"/>
        <v>0</v>
      </c>
      <c r="H148" s="11">
        <v>0</v>
      </c>
      <c r="I148" s="240"/>
      <c r="J148" s="116">
        <f t="shared" si="32"/>
        <v>0</v>
      </c>
      <c r="K148" s="169"/>
      <c r="L148" s="162"/>
    </row>
    <row r="149" spans="1:12" x14ac:dyDescent="0.2">
      <c r="A149" s="5" t="s">
        <v>261</v>
      </c>
      <c r="B149" s="7" t="s">
        <v>262</v>
      </c>
      <c r="C149" s="29">
        <v>105000</v>
      </c>
      <c r="D149" s="11">
        <v>0</v>
      </c>
      <c r="E149" s="9">
        <v>0</v>
      </c>
      <c r="F149" s="11">
        <v>22866.68</v>
      </c>
      <c r="G149" s="9">
        <f t="shared" si="36"/>
        <v>82133.320000000007</v>
      </c>
      <c r="H149" s="11">
        <v>21.77</v>
      </c>
      <c r="I149" s="240">
        <f>I562+I429+I671+I756+I838+I984+I1151</f>
        <v>10000</v>
      </c>
      <c r="J149" s="116">
        <f t="shared" si="32"/>
        <v>115000</v>
      </c>
      <c r="K149" s="229">
        <f>K562+K429+K671+K756+K838+K984+K1151</f>
        <v>121900</v>
      </c>
      <c r="L149" s="109">
        <f>L562+L429+L671+L756+L838+L984+L1151</f>
        <v>129214</v>
      </c>
    </row>
    <row r="150" spans="1:12" x14ac:dyDescent="0.2">
      <c r="A150" s="5" t="s">
        <v>263</v>
      </c>
      <c r="B150" s="7" t="s">
        <v>264</v>
      </c>
      <c r="C150" s="29">
        <v>1450000</v>
      </c>
      <c r="D150" s="11">
        <v>0</v>
      </c>
      <c r="E150" s="9">
        <v>0</v>
      </c>
      <c r="F150" s="11">
        <v>0</v>
      </c>
      <c r="G150" s="9">
        <f t="shared" si="36"/>
        <v>1450000</v>
      </c>
      <c r="H150" s="11">
        <v>0</v>
      </c>
      <c r="I150" s="240">
        <f>I839</f>
        <v>0</v>
      </c>
      <c r="J150" s="116">
        <f t="shared" si="32"/>
        <v>1450000</v>
      </c>
      <c r="K150" s="229">
        <f>K839</f>
        <v>0</v>
      </c>
      <c r="L150" s="109">
        <f>L839</f>
        <v>0</v>
      </c>
    </row>
    <row r="151" spans="1:12" x14ac:dyDescent="0.2">
      <c r="A151" s="5" t="s">
        <v>265</v>
      </c>
      <c r="B151" s="7" t="s">
        <v>266</v>
      </c>
      <c r="C151" s="29">
        <v>200000</v>
      </c>
      <c r="D151" s="11">
        <v>10000</v>
      </c>
      <c r="E151" s="9">
        <v>0</v>
      </c>
      <c r="F151" s="11">
        <v>71403.509999999995</v>
      </c>
      <c r="G151" s="9">
        <f t="shared" si="36"/>
        <v>128596.49</v>
      </c>
      <c r="H151" s="11">
        <v>35.700000000000003</v>
      </c>
      <c r="I151" s="240">
        <f>I840</f>
        <v>-50200</v>
      </c>
      <c r="J151" s="116">
        <f t="shared" si="32"/>
        <v>149800</v>
      </c>
      <c r="K151" s="229">
        <f>K840</f>
        <v>158788</v>
      </c>
      <c r="L151" s="109">
        <f>L840</f>
        <v>168315.28</v>
      </c>
    </row>
    <row r="152" spans="1:12" x14ac:dyDescent="0.2">
      <c r="A152" s="5" t="s">
        <v>267</v>
      </c>
      <c r="B152" s="7" t="s">
        <v>268</v>
      </c>
      <c r="C152" s="29">
        <v>1280000</v>
      </c>
      <c r="D152" s="11">
        <v>136000</v>
      </c>
      <c r="E152" s="9">
        <v>0</v>
      </c>
      <c r="F152" s="11">
        <v>271000</v>
      </c>
      <c r="G152" s="9">
        <f t="shared" si="36"/>
        <v>1009000</v>
      </c>
      <c r="H152" s="11">
        <v>21.17</v>
      </c>
      <c r="I152" s="240">
        <f>I430</f>
        <v>400000</v>
      </c>
      <c r="J152" s="116">
        <f t="shared" si="32"/>
        <v>1680000</v>
      </c>
      <c r="K152" s="229">
        <f t="shared" ref="K152:L156" si="39">K430</f>
        <v>1680000</v>
      </c>
      <c r="L152" s="109">
        <f t="shared" si="39"/>
        <v>1680000</v>
      </c>
    </row>
    <row r="153" spans="1:12" x14ac:dyDescent="0.2">
      <c r="A153" s="5" t="s">
        <v>269</v>
      </c>
      <c r="B153" s="7" t="s">
        <v>270</v>
      </c>
      <c r="C153" s="29">
        <v>400000</v>
      </c>
      <c r="D153" s="11">
        <v>0</v>
      </c>
      <c r="E153" s="9">
        <v>0</v>
      </c>
      <c r="F153" s="11">
        <v>544000</v>
      </c>
      <c r="G153" s="9">
        <f t="shared" si="36"/>
        <v>-144000</v>
      </c>
      <c r="H153" s="11">
        <v>136</v>
      </c>
      <c r="I153" s="240">
        <f>I431</f>
        <v>-400000</v>
      </c>
      <c r="J153" s="116">
        <f t="shared" si="32"/>
        <v>0</v>
      </c>
      <c r="K153" s="229">
        <f t="shared" si="39"/>
        <v>0</v>
      </c>
      <c r="L153" s="109">
        <f t="shared" si="39"/>
        <v>0</v>
      </c>
    </row>
    <row r="154" spans="1:12" x14ac:dyDescent="0.2">
      <c r="A154" s="5" t="s">
        <v>271</v>
      </c>
      <c r="B154" s="7" t="s">
        <v>1026</v>
      </c>
      <c r="C154" s="29">
        <v>900000</v>
      </c>
      <c r="D154" s="11">
        <v>275685.2</v>
      </c>
      <c r="E154" s="9">
        <v>0</v>
      </c>
      <c r="F154" s="11">
        <v>785969.09</v>
      </c>
      <c r="G154" s="9">
        <f t="shared" si="36"/>
        <v>114030.91000000003</v>
      </c>
      <c r="H154" s="11">
        <v>87.32</v>
      </c>
      <c r="I154" s="240">
        <f>I432</f>
        <v>-510000</v>
      </c>
      <c r="J154" s="116">
        <f t="shared" si="32"/>
        <v>390000</v>
      </c>
      <c r="K154" s="229">
        <f t="shared" si="39"/>
        <v>413400</v>
      </c>
      <c r="L154" s="109">
        <f t="shared" si="39"/>
        <v>438204</v>
      </c>
    </row>
    <row r="155" spans="1:12" s="258" customFormat="1" x14ac:dyDescent="0.2">
      <c r="A155" s="253"/>
      <c r="B155" s="254" t="s">
        <v>1027</v>
      </c>
      <c r="C155" s="255"/>
      <c r="D155" s="256"/>
      <c r="E155" s="257"/>
      <c r="F155" s="256"/>
      <c r="G155" s="257"/>
      <c r="H155" s="256"/>
      <c r="I155" s="32">
        <f>I433</f>
        <v>400000</v>
      </c>
      <c r="J155" s="307">
        <f t="shared" si="32"/>
        <v>400000</v>
      </c>
      <c r="K155" s="225">
        <f t="shared" si="39"/>
        <v>424000</v>
      </c>
      <c r="L155" s="227">
        <f t="shared" si="39"/>
        <v>449440</v>
      </c>
    </row>
    <row r="156" spans="1:12" s="43" customFormat="1" x14ac:dyDescent="0.2">
      <c r="A156" s="40" t="s">
        <v>272</v>
      </c>
      <c r="B156" s="41" t="s">
        <v>273</v>
      </c>
      <c r="C156" s="42">
        <v>400000</v>
      </c>
      <c r="D156" s="35">
        <v>243230.77</v>
      </c>
      <c r="E156" s="33">
        <v>0</v>
      </c>
      <c r="F156" s="35">
        <v>243230.77</v>
      </c>
      <c r="G156" s="33">
        <f t="shared" si="36"/>
        <v>156769.23000000001</v>
      </c>
      <c r="H156" s="35">
        <v>60.8</v>
      </c>
      <c r="I156" s="72">
        <f>I434</f>
        <v>-156769</v>
      </c>
      <c r="J156" s="308">
        <f t="shared" si="32"/>
        <v>243231</v>
      </c>
      <c r="K156" s="171">
        <f t="shared" si="39"/>
        <v>257824.86</v>
      </c>
      <c r="L156" s="163">
        <f t="shared" si="39"/>
        <v>273294.35159999999</v>
      </c>
    </row>
    <row r="157" spans="1:12" x14ac:dyDescent="0.2">
      <c r="A157" s="5" t="s">
        <v>274</v>
      </c>
      <c r="B157" s="7" t="s">
        <v>275</v>
      </c>
      <c r="C157" s="29">
        <v>500000</v>
      </c>
      <c r="D157" s="11">
        <v>50480</v>
      </c>
      <c r="E157" s="9">
        <v>48850</v>
      </c>
      <c r="F157" s="11">
        <v>283830</v>
      </c>
      <c r="G157" s="9">
        <f t="shared" si="36"/>
        <v>167320</v>
      </c>
      <c r="H157" s="11">
        <v>56.76</v>
      </c>
      <c r="I157" s="240"/>
      <c r="J157" s="116">
        <f t="shared" si="32"/>
        <v>500000</v>
      </c>
      <c r="K157" s="229"/>
      <c r="L157" s="109"/>
    </row>
    <row r="158" spans="1:12" x14ac:dyDescent="0.2">
      <c r="A158" s="5" t="s">
        <v>277</v>
      </c>
      <c r="B158" s="7" t="s">
        <v>278</v>
      </c>
      <c r="C158" s="29">
        <v>3170280</v>
      </c>
      <c r="D158" s="11">
        <v>0</v>
      </c>
      <c r="E158" s="9">
        <v>0</v>
      </c>
      <c r="F158" s="11">
        <v>0</v>
      </c>
      <c r="G158" s="9">
        <f t="shared" si="36"/>
        <v>3170280</v>
      </c>
      <c r="H158" s="11">
        <v>0</v>
      </c>
      <c r="I158" s="240">
        <f>I841</f>
        <v>2829720</v>
      </c>
      <c r="J158" s="116">
        <f t="shared" si="32"/>
        <v>6000000</v>
      </c>
      <c r="K158" s="229">
        <f>K841</f>
        <v>6360000</v>
      </c>
      <c r="L158" s="109">
        <f>L841</f>
        <v>6741600</v>
      </c>
    </row>
    <row r="159" spans="1:12" x14ac:dyDescent="0.2">
      <c r="A159" s="5" t="s">
        <v>279</v>
      </c>
      <c r="B159" s="7" t="s">
        <v>280</v>
      </c>
      <c r="C159" s="29">
        <v>0</v>
      </c>
      <c r="D159" s="11">
        <v>0</v>
      </c>
      <c r="E159" s="9">
        <v>0</v>
      </c>
      <c r="F159" s="11">
        <v>0</v>
      </c>
      <c r="G159" s="9">
        <f t="shared" si="36"/>
        <v>0</v>
      </c>
      <c r="H159" s="11">
        <v>0</v>
      </c>
      <c r="I159" s="240"/>
      <c r="J159" s="116">
        <f t="shared" si="32"/>
        <v>0</v>
      </c>
      <c r="K159" s="169"/>
      <c r="L159" s="162"/>
    </row>
    <row r="160" spans="1:12" x14ac:dyDescent="0.2">
      <c r="A160" s="5" t="s">
        <v>281</v>
      </c>
      <c r="B160" s="7" t="s">
        <v>282</v>
      </c>
      <c r="C160" s="29">
        <v>350000</v>
      </c>
      <c r="D160" s="11">
        <v>0</v>
      </c>
      <c r="E160" s="9">
        <v>0</v>
      </c>
      <c r="F160" s="11">
        <v>238164.39</v>
      </c>
      <c r="G160" s="9">
        <f t="shared" si="36"/>
        <v>111835.60999999999</v>
      </c>
      <c r="H160" s="11">
        <v>68.040000000000006</v>
      </c>
      <c r="I160" s="240">
        <f>I435</f>
        <v>-3000</v>
      </c>
      <c r="J160" s="116">
        <f t="shared" si="32"/>
        <v>347000</v>
      </c>
      <c r="K160" s="229">
        <f>K435</f>
        <v>367820</v>
      </c>
      <c r="L160" s="109">
        <f>L435</f>
        <v>389889.2</v>
      </c>
    </row>
    <row r="161" spans="1:12" x14ac:dyDescent="0.2">
      <c r="A161" s="5" t="s">
        <v>283</v>
      </c>
      <c r="B161" s="7" t="s">
        <v>284</v>
      </c>
      <c r="C161" s="29">
        <v>70000</v>
      </c>
      <c r="D161" s="11">
        <v>0</v>
      </c>
      <c r="E161" s="9">
        <v>0</v>
      </c>
      <c r="F161" s="11">
        <v>0</v>
      </c>
      <c r="G161" s="9">
        <f t="shared" si="36"/>
        <v>70000</v>
      </c>
      <c r="H161" s="11">
        <v>0</v>
      </c>
      <c r="I161" s="240">
        <f>I436</f>
        <v>3000</v>
      </c>
      <c r="J161" s="116">
        <f t="shared" si="32"/>
        <v>73000</v>
      </c>
      <c r="K161" s="229">
        <f>K436</f>
        <v>77380</v>
      </c>
      <c r="L161" s="109">
        <f>L436</f>
        <v>82022.8</v>
      </c>
    </row>
    <row r="162" spans="1:12" x14ac:dyDescent="0.2">
      <c r="A162" s="5" t="s">
        <v>285</v>
      </c>
      <c r="B162" s="7" t="s">
        <v>286</v>
      </c>
      <c r="C162" s="29">
        <v>110498</v>
      </c>
      <c r="D162" s="11">
        <v>0</v>
      </c>
      <c r="E162" s="9">
        <v>0</v>
      </c>
      <c r="F162" s="11">
        <v>96491.23</v>
      </c>
      <c r="G162" s="9">
        <f t="shared" si="36"/>
        <v>14006.770000000004</v>
      </c>
      <c r="H162" s="11">
        <v>87.32</v>
      </c>
      <c r="I162" s="240">
        <f>I842</f>
        <v>400000</v>
      </c>
      <c r="J162" s="116">
        <f t="shared" si="32"/>
        <v>510498</v>
      </c>
      <c r="K162" s="109">
        <f>K842</f>
        <v>541127.88</v>
      </c>
      <c r="L162" s="109">
        <f>L842</f>
        <v>573595.55280000006</v>
      </c>
    </row>
    <row r="163" spans="1:12" x14ac:dyDescent="0.2">
      <c r="A163" s="5"/>
      <c r="B163" s="7"/>
      <c r="C163" s="29"/>
      <c r="D163" s="11"/>
      <c r="E163" s="9"/>
      <c r="F163" s="11"/>
      <c r="G163" s="9">
        <f t="shared" si="36"/>
        <v>0</v>
      </c>
      <c r="H163" s="11"/>
      <c r="I163" s="240"/>
      <c r="J163" s="162"/>
      <c r="K163" s="169"/>
      <c r="L163" s="162"/>
    </row>
    <row r="164" spans="1:12" s="3" customFormat="1" ht="15" x14ac:dyDescent="0.25">
      <c r="A164" s="18"/>
      <c r="B164" s="19" t="s">
        <v>287</v>
      </c>
      <c r="C164" s="28">
        <f>SUM(C56:C163)</f>
        <v>44887513</v>
      </c>
      <c r="D164" s="21">
        <f>SUM(D56:D163)</f>
        <v>3550067.6899999995</v>
      </c>
      <c r="E164" s="20">
        <f>SUM(E56:E163)</f>
        <v>637031.37</v>
      </c>
      <c r="F164" s="21">
        <f>SUM(F56:F163)</f>
        <v>16691453.429999998</v>
      </c>
      <c r="G164" s="9">
        <f t="shared" si="36"/>
        <v>27559028.200000003</v>
      </c>
      <c r="H164" s="21">
        <v>37.18</v>
      </c>
      <c r="I164" s="238">
        <f>SUM(I56:I163)</f>
        <v>4899866</v>
      </c>
      <c r="J164" s="168">
        <f>SUM(J56:J163)</f>
        <v>49787379</v>
      </c>
      <c r="K164" s="178">
        <f>SUM(K56:K163)</f>
        <v>47245282.459999993</v>
      </c>
      <c r="L164" s="168">
        <f>SUM(L56:L163)</f>
        <v>51899199.407600015</v>
      </c>
    </row>
    <row r="165" spans="1:12" s="3" customFormat="1" ht="15" x14ac:dyDescent="0.25">
      <c r="A165" s="18"/>
      <c r="B165" s="19"/>
      <c r="C165" s="28"/>
      <c r="D165" s="21"/>
      <c r="E165" s="20"/>
      <c r="F165" s="21"/>
      <c r="G165" s="9">
        <f t="shared" ref="G165:G228" si="40">C165-E165-F165</f>
        <v>0</v>
      </c>
      <c r="H165" s="21"/>
      <c r="I165" s="238"/>
      <c r="J165" s="168"/>
      <c r="K165" s="178"/>
      <c r="L165" s="168"/>
    </row>
    <row r="166" spans="1:12" s="3" customFormat="1" ht="15" x14ac:dyDescent="0.25">
      <c r="A166" s="18"/>
      <c r="B166" s="19" t="s">
        <v>288</v>
      </c>
      <c r="C166" s="28"/>
      <c r="D166" s="21"/>
      <c r="E166" s="20"/>
      <c r="F166" s="21"/>
      <c r="G166" s="9">
        <f t="shared" si="40"/>
        <v>0</v>
      </c>
      <c r="H166" s="21"/>
      <c r="I166" s="238"/>
      <c r="J166" s="168"/>
      <c r="K166" s="178"/>
      <c r="L166" s="168"/>
    </row>
    <row r="167" spans="1:12" s="3" customFormat="1" ht="15" x14ac:dyDescent="0.25">
      <c r="A167" s="18"/>
      <c r="B167" s="19"/>
      <c r="C167" s="28"/>
      <c r="D167" s="21"/>
      <c r="E167" s="20"/>
      <c r="F167" s="21"/>
      <c r="G167" s="9">
        <f t="shared" si="40"/>
        <v>0</v>
      </c>
      <c r="H167" s="21"/>
      <c r="I167" s="238"/>
      <c r="J167" s="168"/>
      <c r="K167" s="178"/>
      <c r="L167" s="168"/>
    </row>
    <row r="168" spans="1:12" x14ac:dyDescent="0.2">
      <c r="A168" s="5" t="s">
        <v>289</v>
      </c>
      <c r="B168" s="7" t="s">
        <v>290</v>
      </c>
      <c r="C168" s="29">
        <v>3307856</v>
      </c>
      <c r="D168" s="11">
        <v>233980.7</v>
      </c>
      <c r="E168" s="9">
        <v>0</v>
      </c>
      <c r="F168" s="11">
        <v>1403884.2</v>
      </c>
      <c r="G168" s="9">
        <f t="shared" si="40"/>
        <v>1903971.8</v>
      </c>
      <c r="H168" s="11">
        <v>42.44</v>
      </c>
      <c r="I168" s="240">
        <f>I442</f>
        <v>0</v>
      </c>
      <c r="J168" s="109">
        <f>C168+I168</f>
        <v>3307856</v>
      </c>
      <c r="K168" s="229">
        <f>K442</f>
        <v>3506327.36</v>
      </c>
      <c r="L168" s="109">
        <f>L442</f>
        <v>3716707.0016000001</v>
      </c>
    </row>
    <row r="169" spans="1:12" x14ac:dyDescent="0.2">
      <c r="A169" s="5"/>
      <c r="B169" s="7"/>
      <c r="C169" s="29"/>
      <c r="D169" s="11"/>
      <c r="E169" s="9"/>
      <c r="F169" s="11"/>
      <c r="G169" s="9">
        <f t="shared" si="40"/>
        <v>0</v>
      </c>
      <c r="H169" s="11"/>
      <c r="I169" s="240"/>
      <c r="J169" s="162"/>
      <c r="K169" s="169"/>
      <c r="L169" s="162"/>
    </row>
    <row r="170" spans="1:12" s="3" customFormat="1" ht="15" x14ac:dyDescent="0.25">
      <c r="A170" s="18"/>
      <c r="B170" s="19" t="s">
        <v>291</v>
      </c>
      <c r="C170" s="28">
        <f>SUM(C168:C169)</f>
        <v>3307856</v>
      </c>
      <c r="D170" s="21">
        <f t="shared" ref="D170:F170" si="41">SUM(D168:D169)</f>
        <v>233980.7</v>
      </c>
      <c r="E170" s="20">
        <f t="shared" si="41"/>
        <v>0</v>
      </c>
      <c r="F170" s="21">
        <f t="shared" si="41"/>
        <v>1403884.2</v>
      </c>
      <c r="G170" s="9">
        <f t="shared" si="40"/>
        <v>1903971.8</v>
      </c>
      <c r="H170" s="21">
        <v>42.44</v>
      </c>
      <c r="I170" s="238">
        <f t="shared" ref="I170:L170" si="42">SUM(I168:I169)</f>
        <v>0</v>
      </c>
      <c r="J170" s="168">
        <f t="shared" si="42"/>
        <v>3307856</v>
      </c>
      <c r="K170" s="178">
        <f t="shared" si="42"/>
        <v>3506327.36</v>
      </c>
      <c r="L170" s="168">
        <f t="shared" si="42"/>
        <v>3716707.0016000001</v>
      </c>
    </row>
    <row r="171" spans="1:12" s="3" customFormat="1" ht="15" x14ac:dyDescent="0.25">
      <c r="A171" s="18"/>
      <c r="B171" s="19"/>
      <c r="C171" s="28"/>
      <c r="D171" s="21"/>
      <c r="E171" s="20"/>
      <c r="F171" s="21"/>
      <c r="G171" s="9">
        <f t="shared" si="40"/>
        <v>0</v>
      </c>
      <c r="H171" s="21"/>
      <c r="I171" s="238"/>
      <c r="J171" s="168"/>
      <c r="K171" s="178"/>
      <c r="L171" s="168"/>
    </row>
    <row r="172" spans="1:12" s="3" customFormat="1" ht="15" x14ac:dyDescent="0.25">
      <c r="A172" s="18"/>
      <c r="B172" s="19" t="s">
        <v>292</v>
      </c>
      <c r="C172" s="28">
        <f>C164+C170</f>
        <v>48195369</v>
      </c>
      <c r="D172" s="21">
        <f t="shared" ref="D172:F172" si="43">D164+D170</f>
        <v>3784048.3899999997</v>
      </c>
      <c r="E172" s="20">
        <f t="shared" si="43"/>
        <v>637031.37</v>
      </c>
      <c r="F172" s="21">
        <f t="shared" si="43"/>
        <v>18095337.629999999</v>
      </c>
      <c r="G172" s="9">
        <f t="shared" si="40"/>
        <v>29463000.000000004</v>
      </c>
      <c r="H172" s="21">
        <v>37.54</v>
      </c>
      <c r="I172" s="238">
        <f t="shared" ref="I172:L172" si="44">I164+I170</f>
        <v>4899866</v>
      </c>
      <c r="J172" s="168">
        <f t="shared" si="44"/>
        <v>53095235</v>
      </c>
      <c r="K172" s="178">
        <f t="shared" si="44"/>
        <v>50751609.819999993</v>
      </c>
      <c r="L172" s="168">
        <f t="shared" si="44"/>
        <v>55615906.409200013</v>
      </c>
    </row>
    <row r="173" spans="1:12" s="3" customFormat="1" ht="15" x14ac:dyDescent="0.25">
      <c r="A173" s="18"/>
      <c r="B173" s="19"/>
      <c r="C173" s="28"/>
      <c r="D173" s="21"/>
      <c r="E173" s="20"/>
      <c r="F173" s="21"/>
      <c r="G173" s="9">
        <f t="shared" si="40"/>
        <v>0</v>
      </c>
      <c r="H173" s="21"/>
      <c r="I173" s="238"/>
      <c r="J173" s="168"/>
      <c r="K173" s="178"/>
      <c r="L173" s="168"/>
    </row>
    <row r="174" spans="1:12" s="3" customFormat="1" ht="15" x14ac:dyDescent="0.25">
      <c r="A174" s="18"/>
      <c r="B174" s="19" t="s">
        <v>293</v>
      </c>
      <c r="C174" s="28"/>
      <c r="D174" s="21"/>
      <c r="E174" s="20"/>
      <c r="F174" s="21"/>
      <c r="G174" s="9">
        <f t="shared" si="40"/>
        <v>0</v>
      </c>
      <c r="H174" s="21"/>
      <c r="I174" s="238"/>
      <c r="J174" s="168"/>
      <c r="K174" s="178"/>
      <c r="L174" s="168"/>
    </row>
    <row r="175" spans="1:12" s="3" customFormat="1" ht="15" x14ac:dyDescent="0.25">
      <c r="A175" s="18"/>
      <c r="B175" s="19"/>
      <c r="C175" s="28"/>
      <c r="D175" s="21"/>
      <c r="E175" s="20"/>
      <c r="F175" s="21"/>
      <c r="G175" s="9">
        <f t="shared" si="40"/>
        <v>0</v>
      </c>
      <c r="H175" s="21"/>
      <c r="I175" s="238"/>
      <c r="J175" s="168"/>
      <c r="K175" s="178"/>
      <c r="L175" s="168"/>
    </row>
    <row r="176" spans="1:12" x14ac:dyDescent="0.2">
      <c r="A176" s="5" t="s">
        <v>294</v>
      </c>
      <c r="B176" s="7" t="s">
        <v>295</v>
      </c>
      <c r="C176" s="29">
        <v>115000</v>
      </c>
      <c r="D176" s="11">
        <v>29038.06</v>
      </c>
      <c r="E176" s="9">
        <v>21344</v>
      </c>
      <c r="F176" s="11">
        <v>89127.59</v>
      </c>
      <c r="G176" s="9">
        <f t="shared" si="40"/>
        <v>4528.4100000000035</v>
      </c>
      <c r="H176" s="11">
        <v>77.5</v>
      </c>
      <c r="I176" s="240">
        <f>I449</f>
        <v>125000</v>
      </c>
      <c r="J176" s="109">
        <f>C176+I176</f>
        <v>240000</v>
      </c>
      <c r="K176" s="229">
        <f>K449</f>
        <v>254400</v>
      </c>
      <c r="L176" s="109">
        <f>L449</f>
        <v>269664</v>
      </c>
    </row>
    <row r="177" spans="1:12" x14ac:dyDescent="0.2">
      <c r="A177" s="5" t="s">
        <v>297</v>
      </c>
      <c r="B177" s="7" t="s">
        <v>298</v>
      </c>
      <c r="C177" s="29">
        <v>77795</v>
      </c>
      <c r="D177" s="11">
        <v>13484.1</v>
      </c>
      <c r="E177" s="9">
        <v>5683.86</v>
      </c>
      <c r="F177" s="11">
        <v>67420.5</v>
      </c>
      <c r="G177" s="9">
        <f t="shared" si="40"/>
        <v>4690.6399999999994</v>
      </c>
      <c r="H177" s="11">
        <v>86.66</v>
      </c>
      <c r="I177" s="240">
        <f>I994</f>
        <v>94500</v>
      </c>
      <c r="J177" s="109">
        <f t="shared" ref="J177:J189" si="45">C177+I177</f>
        <v>172295</v>
      </c>
      <c r="K177" s="229">
        <f>K994</f>
        <v>182632.7</v>
      </c>
      <c r="L177" s="109">
        <f>L994</f>
        <v>193590.66200000001</v>
      </c>
    </row>
    <row r="178" spans="1:12" x14ac:dyDescent="0.2">
      <c r="A178" s="5" t="s">
        <v>299</v>
      </c>
      <c r="B178" s="7" t="s">
        <v>300</v>
      </c>
      <c r="C178" s="29">
        <v>50000</v>
      </c>
      <c r="D178" s="11">
        <v>0</v>
      </c>
      <c r="E178" s="9">
        <v>0</v>
      </c>
      <c r="F178" s="11">
        <v>146.5</v>
      </c>
      <c r="G178" s="9">
        <f t="shared" si="40"/>
        <v>49853.5</v>
      </c>
      <c r="H178" s="11">
        <v>0.28999999999999998</v>
      </c>
      <c r="I178" s="240">
        <f>I995</f>
        <v>-49500</v>
      </c>
      <c r="J178" s="109">
        <f t="shared" si="45"/>
        <v>500</v>
      </c>
      <c r="K178" s="229">
        <f>K995</f>
        <v>530</v>
      </c>
      <c r="L178" s="109">
        <f>L995</f>
        <v>561.79999999999995</v>
      </c>
    </row>
    <row r="179" spans="1:12" x14ac:dyDescent="0.2">
      <c r="A179" s="5" t="s">
        <v>301</v>
      </c>
      <c r="B179" s="7" t="s">
        <v>302</v>
      </c>
      <c r="C179" s="29">
        <v>287500</v>
      </c>
      <c r="D179" s="11">
        <v>186200</v>
      </c>
      <c r="E179" s="9">
        <v>12000</v>
      </c>
      <c r="F179" s="11">
        <v>214026.66</v>
      </c>
      <c r="G179" s="9">
        <f t="shared" si="40"/>
        <v>61473.34</v>
      </c>
      <c r="H179" s="11">
        <v>74.44</v>
      </c>
      <c r="I179" s="240">
        <f>I1292</f>
        <v>200000</v>
      </c>
      <c r="J179" s="109">
        <f t="shared" si="45"/>
        <v>487500</v>
      </c>
      <c r="K179" s="229">
        <f>K1292</f>
        <v>516750</v>
      </c>
      <c r="L179" s="109">
        <f>L1292</f>
        <v>547755</v>
      </c>
    </row>
    <row r="180" spans="1:12" x14ac:dyDescent="0.2">
      <c r="A180" s="5" t="s">
        <v>303</v>
      </c>
      <c r="B180" s="7" t="s">
        <v>304</v>
      </c>
      <c r="C180" s="29">
        <v>75000</v>
      </c>
      <c r="D180" s="11">
        <v>0</v>
      </c>
      <c r="E180" s="9">
        <v>0</v>
      </c>
      <c r="F180" s="11">
        <v>0</v>
      </c>
      <c r="G180" s="9">
        <f t="shared" si="40"/>
        <v>75000</v>
      </c>
      <c r="H180" s="11">
        <v>0</v>
      </c>
      <c r="I180" s="240">
        <f>I450</f>
        <v>-5000</v>
      </c>
      <c r="J180" s="109">
        <f t="shared" si="45"/>
        <v>70000</v>
      </c>
      <c r="K180" s="229">
        <f>K450</f>
        <v>74200</v>
      </c>
      <c r="L180" s="109">
        <f>L450</f>
        <v>78652</v>
      </c>
    </row>
    <row r="181" spans="1:12" x14ac:dyDescent="0.2">
      <c r="A181" s="5" t="s">
        <v>305</v>
      </c>
      <c r="B181" s="7" t="s">
        <v>306</v>
      </c>
      <c r="C181" s="29">
        <v>70000</v>
      </c>
      <c r="D181" s="11">
        <v>0</v>
      </c>
      <c r="E181" s="9">
        <v>0</v>
      </c>
      <c r="F181" s="11">
        <v>27950</v>
      </c>
      <c r="G181" s="9">
        <f t="shared" si="40"/>
        <v>42050</v>
      </c>
      <c r="H181" s="11">
        <v>39.92</v>
      </c>
      <c r="I181" s="240">
        <f>I451</f>
        <v>200000</v>
      </c>
      <c r="J181" s="109">
        <f t="shared" si="45"/>
        <v>270000</v>
      </c>
      <c r="K181" s="229">
        <f>K451</f>
        <v>150000</v>
      </c>
      <c r="L181" s="109">
        <f>L451</f>
        <v>159000</v>
      </c>
    </row>
    <row r="182" spans="1:12" x14ac:dyDescent="0.2">
      <c r="A182" s="5" t="s">
        <v>307</v>
      </c>
      <c r="B182" s="7" t="s">
        <v>308</v>
      </c>
      <c r="C182" s="29">
        <v>500000</v>
      </c>
      <c r="D182" s="11">
        <v>0</v>
      </c>
      <c r="E182" s="9">
        <v>0</v>
      </c>
      <c r="F182" s="11">
        <v>0</v>
      </c>
      <c r="G182" s="9">
        <f t="shared" si="40"/>
        <v>500000</v>
      </c>
      <c r="H182" s="11">
        <v>0</v>
      </c>
      <c r="I182" s="240">
        <f>I1160</f>
        <v>0</v>
      </c>
      <c r="J182" s="109">
        <f t="shared" si="45"/>
        <v>500000</v>
      </c>
      <c r="K182" s="229">
        <f>K1160</f>
        <v>0</v>
      </c>
      <c r="L182" s="109">
        <f>L1160</f>
        <v>0</v>
      </c>
    </row>
    <row r="183" spans="1:12" x14ac:dyDescent="0.2">
      <c r="A183" s="5" t="s">
        <v>309</v>
      </c>
      <c r="B183" s="7" t="s">
        <v>310</v>
      </c>
      <c r="C183" s="29">
        <v>1000000</v>
      </c>
      <c r="D183" s="11">
        <v>0</v>
      </c>
      <c r="E183" s="9">
        <v>0</v>
      </c>
      <c r="F183" s="11">
        <v>425316.45</v>
      </c>
      <c r="G183" s="9">
        <f t="shared" si="40"/>
        <v>574683.55000000005</v>
      </c>
      <c r="H183" s="11">
        <v>42.53</v>
      </c>
      <c r="I183" s="240">
        <f>I1161</f>
        <v>1352000</v>
      </c>
      <c r="J183" s="109">
        <f t="shared" si="45"/>
        <v>2352000</v>
      </c>
      <c r="K183" s="229">
        <f>K1161</f>
        <v>2493120</v>
      </c>
      <c r="L183" s="109">
        <f>L1161</f>
        <v>2642707.2000000002</v>
      </c>
    </row>
    <row r="184" spans="1:12" x14ac:dyDescent="0.2">
      <c r="A184" s="5" t="s">
        <v>311</v>
      </c>
      <c r="B184" s="7" t="s">
        <v>312</v>
      </c>
      <c r="C184" s="29">
        <v>62500</v>
      </c>
      <c r="D184" s="11">
        <v>0</v>
      </c>
      <c r="E184" s="9">
        <v>16851.78</v>
      </c>
      <c r="F184" s="11">
        <v>0</v>
      </c>
      <c r="G184" s="9">
        <f t="shared" si="40"/>
        <v>45648.22</v>
      </c>
      <c r="H184" s="11">
        <v>0</v>
      </c>
      <c r="I184" s="240">
        <f>I1293</f>
        <v>-30000</v>
      </c>
      <c r="J184" s="109">
        <f t="shared" si="45"/>
        <v>32500</v>
      </c>
      <c r="K184" s="229">
        <f>K1293</f>
        <v>34450</v>
      </c>
      <c r="L184" s="109">
        <f>L1293</f>
        <v>36517</v>
      </c>
    </row>
    <row r="185" spans="1:12" x14ac:dyDescent="0.2">
      <c r="A185" s="5" t="s">
        <v>313</v>
      </c>
      <c r="B185" s="7" t="s">
        <v>314</v>
      </c>
      <c r="C185" s="29">
        <v>31740</v>
      </c>
      <c r="D185" s="11">
        <v>19380</v>
      </c>
      <c r="E185" s="9">
        <v>0</v>
      </c>
      <c r="F185" s="11">
        <v>19380</v>
      </c>
      <c r="G185" s="9">
        <f t="shared" si="40"/>
        <v>12360</v>
      </c>
      <c r="H185" s="11">
        <v>61.05</v>
      </c>
      <c r="I185" s="240">
        <f>I1294</f>
        <v>30000</v>
      </c>
      <c r="J185" s="109">
        <f t="shared" si="45"/>
        <v>61740</v>
      </c>
      <c r="K185" s="229">
        <f>K1294</f>
        <v>65444.4</v>
      </c>
      <c r="L185" s="109">
        <f>L1294</f>
        <v>69371.063999999998</v>
      </c>
    </row>
    <row r="186" spans="1:12" x14ac:dyDescent="0.2">
      <c r="A186" s="5" t="s">
        <v>316</v>
      </c>
      <c r="B186" s="7" t="s">
        <v>317</v>
      </c>
      <c r="C186" s="29">
        <v>1500000</v>
      </c>
      <c r="D186" s="11">
        <v>36228.559999999998</v>
      </c>
      <c r="E186" s="9">
        <v>131517.69</v>
      </c>
      <c r="F186" s="11">
        <v>514094.43</v>
      </c>
      <c r="G186" s="9">
        <f t="shared" si="40"/>
        <v>854387.88000000012</v>
      </c>
      <c r="H186" s="11">
        <v>34.270000000000003</v>
      </c>
      <c r="I186" s="240">
        <f>I1162</f>
        <v>200000</v>
      </c>
      <c r="J186" s="109">
        <f t="shared" si="45"/>
        <v>1700000</v>
      </c>
      <c r="K186" s="229">
        <f>K1162</f>
        <v>1802000</v>
      </c>
      <c r="L186" s="109">
        <f>L1162</f>
        <v>1910120</v>
      </c>
    </row>
    <row r="187" spans="1:12" x14ac:dyDescent="0.2">
      <c r="A187" s="5" t="s">
        <v>318</v>
      </c>
      <c r="B187" s="7" t="s">
        <v>319</v>
      </c>
      <c r="C187" s="29">
        <v>62156</v>
      </c>
      <c r="D187" s="11">
        <v>0</v>
      </c>
      <c r="E187" s="9">
        <v>0</v>
      </c>
      <c r="F187" s="11">
        <v>9087.1200000000008</v>
      </c>
      <c r="G187" s="9">
        <f t="shared" si="40"/>
        <v>53068.88</v>
      </c>
      <c r="H187" s="11">
        <v>14.61</v>
      </c>
      <c r="I187" s="240">
        <f>I452</f>
        <v>0</v>
      </c>
      <c r="J187" s="109">
        <f t="shared" si="45"/>
        <v>62156</v>
      </c>
      <c r="K187" s="229">
        <f>K452</f>
        <v>65885.36</v>
      </c>
      <c r="L187" s="109">
        <f>L452</f>
        <v>69838.481599999999</v>
      </c>
    </row>
    <row r="188" spans="1:12" x14ac:dyDescent="0.2">
      <c r="A188" s="5" t="s">
        <v>320</v>
      </c>
      <c r="B188" s="7" t="s">
        <v>321</v>
      </c>
      <c r="C188" s="29">
        <v>104872</v>
      </c>
      <c r="D188" s="11">
        <v>0</v>
      </c>
      <c r="E188" s="9">
        <v>0</v>
      </c>
      <c r="F188" s="11">
        <v>0</v>
      </c>
      <c r="G188" s="9">
        <f t="shared" si="40"/>
        <v>104872</v>
      </c>
      <c r="H188" s="11">
        <v>0</v>
      </c>
      <c r="I188" s="240">
        <f>I1295</f>
        <v>0</v>
      </c>
      <c r="J188" s="109">
        <f t="shared" si="45"/>
        <v>104872</v>
      </c>
      <c r="K188" s="229">
        <f>K1295</f>
        <v>111164.32</v>
      </c>
      <c r="L188" s="109">
        <f>L1295</f>
        <v>117834.17920000001</v>
      </c>
    </row>
    <row r="189" spans="1:12" x14ac:dyDescent="0.2">
      <c r="A189" s="5" t="s">
        <v>322</v>
      </c>
      <c r="B189" s="7" t="s">
        <v>323</v>
      </c>
      <c r="C189" s="29">
        <v>449029</v>
      </c>
      <c r="D189" s="11">
        <v>0</v>
      </c>
      <c r="E189" s="9">
        <v>0</v>
      </c>
      <c r="F189" s="11">
        <v>91646.45</v>
      </c>
      <c r="G189" s="9">
        <f t="shared" si="40"/>
        <v>357382.55</v>
      </c>
      <c r="H189" s="11">
        <v>20.399999999999999</v>
      </c>
      <c r="I189" s="240">
        <f>I453</f>
        <v>0</v>
      </c>
      <c r="J189" s="109">
        <f t="shared" si="45"/>
        <v>449029</v>
      </c>
      <c r="K189" s="229">
        <f>K453</f>
        <v>475970.74</v>
      </c>
      <c r="L189" s="109">
        <f>L453</f>
        <v>504528.98440000002</v>
      </c>
    </row>
    <row r="190" spans="1:12" x14ac:dyDescent="0.2">
      <c r="A190" s="5"/>
      <c r="B190" s="7"/>
      <c r="C190" s="29"/>
      <c r="D190" s="11"/>
      <c r="E190" s="9"/>
      <c r="F190" s="11"/>
      <c r="G190" s="9">
        <f t="shared" si="40"/>
        <v>0</v>
      </c>
      <c r="H190" s="11"/>
      <c r="I190" s="240"/>
      <c r="J190" s="162"/>
      <c r="K190" s="169"/>
      <c r="L190" s="162"/>
    </row>
    <row r="191" spans="1:12" s="3" customFormat="1" ht="15" x14ac:dyDescent="0.25">
      <c r="A191" s="18"/>
      <c r="B191" s="19" t="s">
        <v>1003</v>
      </c>
      <c r="C191" s="28">
        <f>SUM(C176:C190)</f>
        <v>4385592</v>
      </c>
      <c r="D191" s="21">
        <f t="shared" ref="D191:F191" si="46">SUM(D176:D190)</f>
        <v>284330.71999999997</v>
      </c>
      <c r="E191" s="20">
        <f t="shared" si="46"/>
        <v>187397.33000000002</v>
      </c>
      <c r="F191" s="21">
        <f t="shared" si="46"/>
        <v>1458195.7</v>
      </c>
      <c r="G191" s="9">
        <f t="shared" si="40"/>
        <v>2739998.9699999997</v>
      </c>
      <c r="H191" s="21">
        <v>33.24</v>
      </c>
      <c r="I191" s="238">
        <f t="shared" ref="I191:L191" si="47">SUM(I176:I190)</f>
        <v>2117000</v>
      </c>
      <c r="J191" s="168">
        <f t="shared" si="47"/>
        <v>6502592</v>
      </c>
      <c r="K191" s="178">
        <f t="shared" si="47"/>
        <v>6226547.5200000005</v>
      </c>
      <c r="L191" s="168">
        <f t="shared" si="47"/>
        <v>6600140.3711999999</v>
      </c>
    </row>
    <row r="192" spans="1:12" s="3" customFormat="1" ht="15" x14ac:dyDescent="0.25">
      <c r="A192" s="18"/>
      <c r="B192" s="19"/>
      <c r="C192" s="28"/>
      <c r="D192" s="21"/>
      <c r="E192" s="20"/>
      <c r="F192" s="21"/>
      <c r="G192" s="9">
        <f t="shared" si="40"/>
        <v>0</v>
      </c>
      <c r="H192" s="21"/>
      <c r="I192" s="238"/>
      <c r="J192" s="168"/>
      <c r="K192" s="178"/>
      <c r="L192" s="168"/>
    </row>
    <row r="193" spans="1:12" s="3" customFormat="1" ht="15" x14ac:dyDescent="0.25">
      <c r="A193" s="18"/>
      <c r="B193" s="19" t="s">
        <v>324</v>
      </c>
      <c r="C193" s="28"/>
      <c r="D193" s="21"/>
      <c r="E193" s="20"/>
      <c r="F193" s="21"/>
      <c r="G193" s="9">
        <f t="shared" si="40"/>
        <v>0</v>
      </c>
      <c r="H193" s="21"/>
      <c r="I193" s="238"/>
      <c r="J193" s="168"/>
      <c r="K193" s="178"/>
      <c r="L193" s="168"/>
    </row>
    <row r="194" spans="1:12" s="3" customFormat="1" ht="15" x14ac:dyDescent="0.25">
      <c r="A194" s="18"/>
      <c r="B194" s="19"/>
      <c r="C194" s="28"/>
      <c r="D194" s="21"/>
      <c r="E194" s="20"/>
      <c r="F194" s="21"/>
      <c r="G194" s="9">
        <f t="shared" si="40"/>
        <v>0</v>
      </c>
      <c r="H194" s="21"/>
      <c r="I194" s="238"/>
      <c r="J194" s="168"/>
      <c r="K194" s="178"/>
      <c r="L194" s="168"/>
    </row>
    <row r="195" spans="1:12" x14ac:dyDescent="0.2">
      <c r="A195" s="5" t="s">
        <v>325</v>
      </c>
      <c r="B195" s="7" t="s">
        <v>326</v>
      </c>
      <c r="C195" s="29">
        <v>0</v>
      </c>
      <c r="D195" s="11">
        <v>174.11</v>
      </c>
      <c r="E195" s="9">
        <v>0</v>
      </c>
      <c r="F195" s="11">
        <v>1044.6600000000001</v>
      </c>
      <c r="G195" s="9">
        <f t="shared" si="40"/>
        <v>-1044.6600000000001</v>
      </c>
      <c r="H195" s="11">
        <v>0</v>
      </c>
      <c r="I195" s="240">
        <f>I1168</f>
        <v>0</v>
      </c>
      <c r="J195" s="162">
        <f>C195+I195</f>
        <v>0</v>
      </c>
      <c r="K195" s="169"/>
      <c r="L195" s="162"/>
    </row>
    <row r="196" spans="1:12" x14ac:dyDescent="0.2">
      <c r="A196" s="5" t="s">
        <v>327</v>
      </c>
      <c r="B196" s="7" t="s">
        <v>328</v>
      </c>
      <c r="C196" s="29">
        <v>0</v>
      </c>
      <c r="D196" s="11">
        <v>25579.8</v>
      </c>
      <c r="E196" s="9">
        <v>0</v>
      </c>
      <c r="F196" s="11">
        <v>182247.5</v>
      </c>
      <c r="G196" s="9">
        <f t="shared" si="40"/>
        <v>-182247.5</v>
      </c>
      <c r="H196" s="11">
        <v>0</v>
      </c>
      <c r="I196" s="240">
        <f>I850</f>
        <v>200000</v>
      </c>
      <c r="J196" s="162">
        <f t="shared" ref="J196:J198" si="48">C196+I196</f>
        <v>200000</v>
      </c>
      <c r="K196" s="229">
        <f t="shared" ref="K196:L198" si="49">K850</f>
        <v>0</v>
      </c>
      <c r="L196" s="109">
        <f t="shared" si="49"/>
        <v>0</v>
      </c>
    </row>
    <row r="197" spans="1:12" x14ac:dyDescent="0.2">
      <c r="A197" s="5" t="s">
        <v>329</v>
      </c>
      <c r="B197" s="7" t="s">
        <v>330</v>
      </c>
      <c r="C197" s="29">
        <v>0</v>
      </c>
      <c r="D197" s="11">
        <v>1003.51</v>
      </c>
      <c r="E197" s="9">
        <v>0</v>
      </c>
      <c r="F197" s="11">
        <v>6021.06</v>
      </c>
      <c r="G197" s="9">
        <f t="shared" si="40"/>
        <v>-6021.06</v>
      </c>
      <c r="H197" s="11">
        <v>0</v>
      </c>
      <c r="I197" s="240">
        <f>I851</f>
        <v>10000</v>
      </c>
      <c r="J197" s="162">
        <f t="shared" si="48"/>
        <v>10000</v>
      </c>
      <c r="K197" s="229">
        <f t="shared" si="49"/>
        <v>0</v>
      </c>
      <c r="L197" s="109">
        <f t="shared" si="49"/>
        <v>0</v>
      </c>
    </row>
    <row r="198" spans="1:12" x14ac:dyDescent="0.2">
      <c r="A198" s="5" t="s">
        <v>332</v>
      </c>
      <c r="B198" s="7" t="s">
        <v>333</v>
      </c>
      <c r="C198" s="29">
        <v>0</v>
      </c>
      <c r="D198" s="11">
        <v>10893.52</v>
      </c>
      <c r="E198" s="9">
        <v>0</v>
      </c>
      <c r="F198" s="11">
        <v>36164.03</v>
      </c>
      <c r="G198" s="9">
        <f t="shared" si="40"/>
        <v>-36164.03</v>
      </c>
      <c r="H198" s="11">
        <v>0</v>
      </c>
      <c r="I198" s="240">
        <f>I852</f>
        <v>40000</v>
      </c>
      <c r="J198" s="162">
        <f t="shared" si="48"/>
        <v>40000</v>
      </c>
      <c r="K198" s="229">
        <f t="shared" si="49"/>
        <v>0</v>
      </c>
      <c r="L198" s="109">
        <f t="shared" si="49"/>
        <v>0</v>
      </c>
    </row>
    <row r="199" spans="1:12" x14ac:dyDescent="0.2">
      <c r="A199" s="5"/>
      <c r="B199" s="7"/>
      <c r="C199" s="29"/>
      <c r="D199" s="11"/>
      <c r="E199" s="9"/>
      <c r="F199" s="11"/>
      <c r="G199" s="9">
        <f t="shared" si="40"/>
        <v>0</v>
      </c>
      <c r="H199" s="11"/>
      <c r="I199" s="240"/>
      <c r="J199" s="162"/>
      <c r="K199" s="169"/>
      <c r="L199" s="162"/>
    </row>
    <row r="200" spans="1:12" s="3" customFormat="1" ht="15" x14ac:dyDescent="0.25">
      <c r="A200" s="18"/>
      <c r="B200" s="19" t="s">
        <v>334</v>
      </c>
      <c r="C200" s="28">
        <f>SUM(C195:C199)</f>
        <v>0</v>
      </c>
      <c r="D200" s="21">
        <f t="shared" ref="D200:F200" si="50">SUM(D195:D199)</f>
        <v>37650.94</v>
      </c>
      <c r="E200" s="20">
        <f t="shared" si="50"/>
        <v>0</v>
      </c>
      <c r="F200" s="21">
        <f t="shared" si="50"/>
        <v>225477.25</v>
      </c>
      <c r="G200" s="9">
        <f t="shared" si="40"/>
        <v>-225477.25</v>
      </c>
      <c r="H200" s="21">
        <v>0</v>
      </c>
      <c r="I200" s="238">
        <f t="shared" ref="I200:L200" si="51">SUM(I195:I199)</f>
        <v>250000</v>
      </c>
      <c r="J200" s="168">
        <f t="shared" si="51"/>
        <v>250000</v>
      </c>
      <c r="K200" s="178">
        <f t="shared" si="51"/>
        <v>0</v>
      </c>
      <c r="L200" s="168">
        <f t="shared" si="51"/>
        <v>0</v>
      </c>
    </row>
    <row r="201" spans="1:12" s="3" customFormat="1" ht="15" x14ac:dyDescent="0.25">
      <c r="A201" s="18"/>
      <c r="B201" s="19"/>
      <c r="C201" s="28"/>
      <c r="D201" s="21"/>
      <c r="E201" s="20"/>
      <c r="F201" s="21"/>
      <c r="G201" s="9">
        <f t="shared" si="40"/>
        <v>0</v>
      </c>
      <c r="H201" s="21"/>
      <c r="I201" s="238"/>
      <c r="J201" s="168"/>
      <c r="K201" s="178"/>
      <c r="L201" s="168"/>
    </row>
    <row r="202" spans="1:12" s="3" customFormat="1" ht="15" x14ac:dyDescent="0.25">
      <c r="A202" s="18"/>
      <c r="B202" s="19" t="s">
        <v>120</v>
      </c>
      <c r="C202" s="28"/>
      <c r="D202" s="21"/>
      <c r="E202" s="20"/>
      <c r="F202" s="21"/>
      <c r="G202" s="9">
        <f t="shared" si="40"/>
        <v>0</v>
      </c>
      <c r="H202" s="21"/>
      <c r="I202" s="238"/>
      <c r="J202" s="168"/>
      <c r="K202" s="178"/>
      <c r="L202" s="168"/>
    </row>
    <row r="203" spans="1:12" x14ac:dyDescent="0.2">
      <c r="A203" s="5" t="s">
        <v>335</v>
      </c>
      <c r="B203" s="7" t="s">
        <v>336</v>
      </c>
      <c r="C203" s="29">
        <v>4232000</v>
      </c>
      <c r="D203" s="11">
        <v>0</v>
      </c>
      <c r="E203" s="9">
        <v>0</v>
      </c>
      <c r="F203" s="11">
        <v>0</v>
      </c>
      <c r="G203" s="9">
        <f t="shared" si="40"/>
        <v>4232000</v>
      </c>
      <c r="H203" s="11">
        <v>0</v>
      </c>
      <c r="I203" s="240">
        <f>I858</f>
        <v>3768000</v>
      </c>
      <c r="J203" s="109">
        <f>C203+I203</f>
        <v>8000000</v>
      </c>
      <c r="K203" s="229">
        <f>K858</f>
        <v>8480000</v>
      </c>
      <c r="L203" s="109">
        <f>L858</f>
        <v>8988800</v>
      </c>
    </row>
    <row r="204" spans="1:12" x14ac:dyDescent="0.2">
      <c r="A204" s="5"/>
      <c r="B204" s="7"/>
      <c r="C204" s="29"/>
      <c r="D204" s="11"/>
      <c r="E204" s="9"/>
      <c r="F204" s="11"/>
      <c r="G204" s="9">
        <f t="shared" si="40"/>
        <v>0</v>
      </c>
      <c r="H204" s="11"/>
      <c r="I204" s="240"/>
      <c r="J204" s="162"/>
      <c r="K204" s="169"/>
      <c r="L204" s="162"/>
    </row>
    <row r="205" spans="1:12" s="3" customFormat="1" ht="15" x14ac:dyDescent="0.25">
      <c r="A205" s="18"/>
      <c r="B205" s="19" t="s">
        <v>337</v>
      </c>
      <c r="C205" s="28">
        <f>SUM(C203:C204)</f>
        <v>4232000</v>
      </c>
      <c r="D205" s="21">
        <f t="shared" ref="D205:F205" si="52">SUM(D203:D204)</f>
        <v>0</v>
      </c>
      <c r="E205" s="20">
        <f t="shared" si="52"/>
        <v>0</v>
      </c>
      <c r="F205" s="21">
        <f t="shared" si="52"/>
        <v>0</v>
      </c>
      <c r="G205" s="9">
        <f t="shared" si="40"/>
        <v>4232000</v>
      </c>
      <c r="H205" s="21">
        <v>0</v>
      </c>
      <c r="I205" s="238">
        <f t="shared" ref="I205:L205" si="53">SUM(I203:I204)</f>
        <v>3768000</v>
      </c>
      <c r="J205" s="168">
        <f t="shared" si="53"/>
        <v>8000000</v>
      </c>
      <c r="K205" s="178">
        <f t="shared" si="53"/>
        <v>8480000</v>
      </c>
      <c r="L205" s="168">
        <f t="shared" si="53"/>
        <v>8988800</v>
      </c>
    </row>
    <row r="206" spans="1:12" s="3" customFormat="1" ht="15" x14ac:dyDescent="0.25">
      <c r="A206" s="18"/>
      <c r="B206" s="19"/>
      <c r="C206" s="28"/>
      <c r="D206" s="21"/>
      <c r="E206" s="20"/>
      <c r="F206" s="21"/>
      <c r="G206" s="9">
        <f t="shared" si="40"/>
        <v>0</v>
      </c>
      <c r="H206" s="21"/>
      <c r="I206" s="238"/>
      <c r="J206" s="168"/>
      <c r="K206" s="178"/>
      <c r="L206" s="168"/>
    </row>
    <row r="207" spans="1:12" s="3" customFormat="1" ht="15" x14ac:dyDescent="0.25">
      <c r="A207" s="18"/>
      <c r="B207" s="19" t="s">
        <v>338</v>
      </c>
      <c r="C207" s="28">
        <f>C50+C172+C191+C200+C205</f>
        <v>133114557</v>
      </c>
      <c r="D207" s="21">
        <f>D50+D172+D191+D200+D205</f>
        <v>9881912.4100000001</v>
      </c>
      <c r="E207" s="20">
        <f>E50+E172+E191+E200+E205</f>
        <v>824428.7</v>
      </c>
      <c r="F207" s="21">
        <f>F50+F172+F191+F200+F205</f>
        <v>53950221.840000004</v>
      </c>
      <c r="G207" s="9">
        <f t="shared" si="40"/>
        <v>78339906.459999993</v>
      </c>
      <c r="H207" s="21">
        <v>40.520000000000003</v>
      </c>
      <c r="I207" s="238">
        <f>I50+I172+I191+I200+I205</f>
        <v>11146076.48</v>
      </c>
      <c r="J207" s="168">
        <f>J50+J172+J191+J200+J205</f>
        <v>144260633.47999999</v>
      </c>
      <c r="K207" s="178">
        <f>K50+K172+K191+K200+K205</f>
        <v>146077181.9488</v>
      </c>
      <c r="L207" s="168">
        <f>L50+L172+L191+L200+L205</f>
        <v>156895930.82172802</v>
      </c>
    </row>
    <row r="208" spans="1:12" s="3" customFormat="1" ht="15" x14ac:dyDescent="0.25">
      <c r="A208" s="18"/>
      <c r="B208" s="19"/>
      <c r="C208" s="28"/>
      <c r="D208" s="21"/>
      <c r="E208" s="20"/>
      <c r="F208" s="21"/>
      <c r="G208" s="9">
        <f t="shared" si="40"/>
        <v>0</v>
      </c>
      <c r="H208" s="21"/>
      <c r="I208" s="238"/>
      <c r="J208" s="168"/>
      <c r="K208" s="178"/>
      <c r="L208" s="168"/>
    </row>
    <row r="209" spans="1:12" s="3" customFormat="1" ht="15" x14ac:dyDescent="0.25">
      <c r="A209" s="18"/>
      <c r="B209" s="19" t="s">
        <v>339</v>
      </c>
      <c r="C209" s="28">
        <f>C207</f>
        <v>133114557</v>
      </c>
      <c r="D209" s="21">
        <f t="shared" ref="D209:F209" si="54">D207</f>
        <v>9881912.4100000001</v>
      </c>
      <c r="E209" s="20">
        <f t="shared" si="54"/>
        <v>824428.7</v>
      </c>
      <c r="F209" s="21">
        <f t="shared" si="54"/>
        <v>53950221.840000004</v>
      </c>
      <c r="G209" s="9">
        <f t="shared" si="40"/>
        <v>78339906.459999993</v>
      </c>
      <c r="H209" s="21">
        <v>40.520000000000003</v>
      </c>
      <c r="I209" s="238">
        <f>I207</f>
        <v>11146076.48</v>
      </c>
      <c r="J209" s="168">
        <f t="shared" ref="J209:L209" si="55">J207</f>
        <v>144260633.47999999</v>
      </c>
      <c r="K209" s="178">
        <f t="shared" si="55"/>
        <v>146077181.9488</v>
      </c>
      <c r="L209" s="168">
        <f t="shared" si="55"/>
        <v>156895930.82172802</v>
      </c>
    </row>
    <row r="210" spans="1:12" s="3" customFormat="1" ht="15" x14ac:dyDescent="0.25">
      <c r="A210" s="18"/>
      <c r="B210" s="19"/>
      <c r="C210" s="28"/>
      <c r="D210" s="21"/>
      <c r="E210" s="20"/>
      <c r="F210" s="21"/>
      <c r="G210" s="9">
        <f t="shared" si="40"/>
        <v>0</v>
      </c>
      <c r="H210" s="21"/>
      <c r="I210" s="238"/>
      <c r="J210" s="168"/>
      <c r="K210" s="178"/>
      <c r="L210" s="168"/>
    </row>
    <row r="211" spans="1:12" s="3" customFormat="1" ht="15" x14ac:dyDescent="0.25">
      <c r="A211" s="18"/>
      <c r="B211" s="19" t="s">
        <v>340</v>
      </c>
      <c r="C211" s="28"/>
      <c r="D211" s="21"/>
      <c r="E211" s="20"/>
      <c r="F211" s="21"/>
      <c r="G211" s="9">
        <f t="shared" si="40"/>
        <v>0</v>
      </c>
      <c r="H211" s="21"/>
      <c r="I211" s="238"/>
      <c r="J211" s="168"/>
      <c r="K211" s="178"/>
      <c r="L211" s="168"/>
    </row>
    <row r="212" spans="1:12" s="3" customFormat="1" ht="15" x14ac:dyDescent="0.25">
      <c r="A212" s="18"/>
      <c r="B212" s="19"/>
      <c r="C212" s="28"/>
      <c r="D212" s="21"/>
      <c r="E212" s="20"/>
      <c r="F212" s="21"/>
      <c r="G212" s="9">
        <f t="shared" si="40"/>
        <v>0</v>
      </c>
      <c r="H212" s="21"/>
      <c r="I212" s="238"/>
      <c r="J212" s="168"/>
      <c r="K212" s="178"/>
      <c r="L212" s="168"/>
    </row>
    <row r="213" spans="1:12" s="3" customFormat="1" ht="15" x14ac:dyDescent="0.25">
      <c r="A213" s="18"/>
      <c r="B213" s="19" t="s">
        <v>341</v>
      </c>
      <c r="C213" s="28"/>
      <c r="D213" s="21"/>
      <c r="E213" s="20"/>
      <c r="F213" s="21"/>
      <c r="G213" s="9">
        <f t="shared" si="40"/>
        <v>0</v>
      </c>
      <c r="H213" s="21"/>
      <c r="I213" s="238"/>
      <c r="J213" s="168"/>
      <c r="K213" s="178"/>
      <c r="L213" s="168"/>
    </row>
    <row r="214" spans="1:12" s="3" customFormat="1" ht="15" x14ac:dyDescent="0.25">
      <c r="A214" s="18"/>
      <c r="B214" s="19"/>
      <c r="C214" s="28"/>
      <c r="D214" s="21"/>
      <c r="E214" s="20"/>
      <c r="F214" s="21"/>
      <c r="G214" s="9">
        <f t="shared" si="40"/>
        <v>0</v>
      </c>
      <c r="H214" s="21"/>
      <c r="I214" s="238"/>
      <c r="J214" s="168"/>
      <c r="K214" s="178"/>
      <c r="L214" s="168"/>
    </row>
    <row r="215" spans="1:12" x14ac:dyDescent="0.2">
      <c r="A215" s="5" t="s">
        <v>342</v>
      </c>
      <c r="B215" s="7" t="s">
        <v>343</v>
      </c>
      <c r="C215" s="29">
        <v>-10866049</v>
      </c>
      <c r="D215" s="11">
        <v>-901583.08</v>
      </c>
      <c r="E215" s="9">
        <v>0</v>
      </c>
      <c r="F215" s="11">
        <v>-5409498.4800000004</v>
      </c>
      <c r="G215" s="9">
        <f t="shared" si="40"/>
        <v>-5456550.5199999996</v>
      </c>
      <c r="H215" s="11">
        <v>49.78</v>
      </c>
      <c r="I215" s="240">
        <f>I870</f>
        <v>0</v>
      </c>
      <c r="J215" s="240">
        <f t="shared" ref="J215:L215" si="56">J870</f>
        <v>-10866049</v>
      </c>
      <c r="K215" s="240">
        <f t="shared" si="56"/>
        <v>-11518011.939999999</v>
      </c>
      <c r="L215" s="240">
        <f t="shared" si="56"/>
        <v>-12209092.656399999</v>
      </c>
    </row>
    <row r="216" spans="1:12" x14ac:dyDescent="0.2">
      <c r="A216" s="5"/>
      <c r="B216" s="7"/>
      <c r="C216" s="29"/>
      <c r="D216" s="11"/>
      <c r="E216" s="9"/>
      <c r="F216" s="11"/>
      <c r="G216" s="9">
        <f t="shared" si="40"/>
        <v>0</v>
      </c>
      <c r="H216" s="11"/>
      <c r="I216" s="240"/>
      <c r="J216" s="162"/>
      <c r="K216" s="169"/>
      <c r="L216" s="162"/>
    </row>
    <row r="217" spans="1:12" s="3" customFormat="1" ht="15" x14ac:dyDescent="0.25">
      <c r="A217" s="18"/>
      <c r="B217" s="19" t="s">
        <v>344</v>
      </c>
      <c r="C217" s="28">
        <v>-10866049</v>
      </c>
      <c r="D217" s="21">
        <v>-901583.08</v>
      </c>
      <c r="E217" s="20">
        <v>0</v>
      </c>
      <c r="F217" s="21">
        <v>-5409498.4800000004</v>
      </c>
      <c r="G217" s="9">
        <f t="shared" si="40"/>
        <v>-5456550.5199999996</v>
      </c>
      <c r="H217" s="21">
        <v>49.78</v>
      </c>
      <c r="I217" s="238">
        <f>I872</f>
        <v>0</v>
      </c>
      <c r="J217" s="238">
        <f t="shared" ref="J217:L217" si="57">J872</f>
        <v>-10866049</v>
      </c>
      <c r="K217" s="238">
        <f t="shared" si="57"/>
        <v>-11518011.939999999</v>
      </c>
      <c r="L217" s="238">
        <f t="shared" si="57"/>
        <v>-12209092.656399999</v>
      </c>
    </row>
    <row r="218" spans="1:12" s="3" customFormat="1" ht="15" x14ac:dyDescent="0.25">
      <c r="A218" s="18"/>
      <c r="B218" s="19"/>
      <c r="C218" s="28"/>
      <c r="D218" s="21"/>
      <c r="E218" s="20"/>
      <c r="F218" s="21"/>
      <c r="G218" s="9">
        <f t="shared" si="40"/>
        <v>0</v>
      </c>
      <c r="H218" s="21"/>
      <c r="I218" s="238"/>
      <c r="J218" s="168"/>
      <c r="K218" s="178"/>
      <c r="L218" s="168"/>
    </row>
    <row r="219" spans="1:12" s="3" customFormat="1" ht="15" x14ac:dyDescent="0.25">
      <c r="A219" s="18"/>
      <c r="B219" s="19" t="s">
        <v>345</v>
      </c>
      <c r="C219" s="28"/>
      <c r="D219" s="21"/>
      <c r="E219" s="20"/>
      <c r="F219" s="21"/>
      <c r="G219" s="9">
        <f t="shared" si="40"/>
        <v>0</v>
      </c>
      <c r="H219" s="21"/>
      <c r="I219" s="238"/>
      <c r="J219" s="168"/>
      <c r="K219" s="178"/>
      <c r="L219" s="168"/>
    </row>
    <row r="220" spans="1:12" x14ac:dyDescent="0.2">
      <c r="A220" s="5" t="s">
        <v>346</v>
      </c>
      <c r="B220" s="7" t="s">
        <v>347</v>
      </c>
      <c r="C220" s="29">
        <v>-243156</v>
      </c>
      <c r="D220" s="11">
        <v>0</v>
      </c>
      <c r="E220" s="9">
        <v>0</v>
      </c>
      <c r="F220" s="11">
        <v>192417.71</v>
      </c>
      <c r="G220" s="9">
        <f t="shared" si="40"/>
        <v>-435573.70999999996</v>
      </c>
      <c r="H220" s="11">
        <v>-79.13</v>
      </c>
      <c r="I220" s="240">
        <f>I1307</f>
        <v>-307295.24</v>
      </c>
      <c r="J220" s="109">
        <f t="shared" ref="J220:L220" si="58">J1307</f>
        <v>-550451.24</v>
      </c>
      <c r="K220" s="229">
        <f t="shared" si="58"/>
        <v>-583478.31440000003</v>
      </c>
      <c r="L220" s="109">
        <f t="shared" si="58"/>
        <v>-618487.01326400007</v>
      </c>
    </row>
    <row r="221" spans="1:12" x14ac:dyDescent="0.2">
      <c r="A221" s="5" t="s">
        <v>348</v>
      </c>
      <c r="B221" s="7" t="s">
        <v>349</v>
      </c>
      <c r="C221" s="29">
        <v>-10506531</v>
      </c>
      <c r="D221" s="11">
        <v>-393243.86</v>
      </c>
      <c r="E221" s="9">
        <v>0</v>
      </c>
      <c r="F221" s="11">
        <v>-2666454.58</v>
      </c>
      <c r="G221" s="9">
        <f t="shared" si="40"/>
        <v>-7840076.4199999999</v>
      </c>
      <c r="H221" s="11">
        <v>25.37</v>
      </c>
      <c r="I221" s="240">
        <f>I1308</f>
        <v>1500000</v>
      </c>
      <c r="J221" s="109">
        <f t="shared" ref="J221:L221" si="59">J1308</f>
        <v>-9006531</v>
      </c>
      <c r="K221" s="229">
        <f t="shared" si="59"/>
        <v>-9546922.8599999994</v>
      </c>
      <c r="L221" s="109">
        <f t="shared" si="59"/>
        <v>-10119738.2316</v>
      </c>
    </row>
    <row r="222" spans="1:12" x14ac:dyDescent="0.2">
      <c r="A222" s="5" t="s">
        <v>350</v>
      </c>
      <c r="B222" s="7" t="s">
        <v>351</v>
      </c>
      <c r="C222" s="29">
        <v>-1534222</v>
      </c>
      <c r="D222" s="11">
        <v>-128076.55</v>
      </c>
      <c r="E222" s="9">
        <v>0</v>
      </c>
      <c r="F222" s="11">
        <v>-769648.67</v>
      </c>
      <c r="G222" s="9">
        <f t="shared" si="40"/>
        <v>-764573.33</v>
      </c>
      <c r="H222" s="11">
        <v>50.16</v>
      </c>
      <c r="I222" s="240">
        <f>I1007</f>
        <v>0</v>
      </c>
      <c r="J222" s="109">
        <f t="shared" ref="J222:L222" si="60">J1007</f>
        <v>-1534222</v>
      </c>
      <c r="K222" s="229">
        <f t="shared" si="60"/>
        <v>-1626275.32</v>
      </c>
      <c r="L222" s="109">
        <f t="shared" si="60"/>
        <v>-1723851.8392</v>
      </c>
    </row>
    <row r="223" spans="1:12" ht="15" x14ac:dyDescent="0.25">
      <c r="A223" s="5"/>
      <c r="B223" s="7"/>
      <c r="C223" s="29"/>
      <c r="D223" s="11"/>
      <c r="E223" s="9"/>
      <c r="F223" s="11"/>
      <c r="G223" s="9"/>
      <c r="H223" s="11"/>
      <c r="I223" s="240"/>
      <c r="J223" s="168"/>
      <c r="K223" s="169"/>
      <c r="L223" s="162"/>
    </row>
    <row r="224" spans="1:12" s="3" customFormat="1" ht="15" x14ac:dyDescent="0.25">
      <c r="A224" s="18"/>
      <c r="B224" s="19" t="s">
        <v>352</v>
      </c>
      <c r="C224" s="28">
        <v>-12283909</v>
      </c>
      <c r="D224" s="21">
        <v>-521320.41</v>
      </c>
      <c r="E224" s="20">
        <v>0</v>
      </c>
      <c r="F224" s="21">
        <v>-3243685.54</v>
      </c>
      <c r="G224" s="9">
        <f t="shared" si="40"/>
        <v>-9040223.4600000009</v>
      </c>
      <c r="H224" s="21">
        <v>26.4</v>
      </c>
      <c r="I224" s="238">
        <f>SUM(I220:I222)</f>
        <v>1192704.76</v>
      </c>
      <c r="J224" s="168">
        <f t="shared" ref="J224:J251" si="61">C224+I224</f>
        <v>-11091204.24</v>
      </c>
      <c r="K224" s="242">
        <f t="shared" ref="K224:L224" si="62">SUM(K220:K222)</f>
        <v>-11756676.4944</v>
      </c>
      <c r="L224" s="170">
        <f t="shared" si="62"/>
        <v>-12462077.084063999</v>
      </c>
    </row>
    <row r="225" spans="1:12" s="3" customFormat="1" ht="15" x14ac:dyDescent="0.25">
      <c r="A225" s="18"/>
      <c r="B225" s="19"/>
      <c r="C225" s="28"/>
      <c r="D225" s="21"/>
      <c r="E225" s="20"/>
      <c r="F225" s="21"/>
      <c r="G225" s="9">
        <f t="shared" si="40"/>
        <v>0</v>
      </c>
      <c r="H225" s="21"/>
      <c r="I225" s="238"/>
      <c r="J225" s="168"/>
      <c r="K225" s="178"/>
      <c r="L225" s="168"/>
    </row>
    <row r="226" spans="1:12" s="3" customFormat="1" ht="15" x14ac:dyDescent="0.25">
      <c r="A226" s="18"/>
      <c r="B226" s="19" t="s">
        <v>353</v>
      </c>
      <c r="C226" s="28"/>
      <c r="D226" s="21"/>
      <c r="E226" s="20"/>
      <c r="F226" s="21"/>
      <c r="G226" s="9">
        <f t="shared" si="40"/>
        <v>0</v>
      </c>
      <c r="H226" s="21"/>
      <c r="I226" s="238"/>
      <c r="J226" s="168"/>
      <c r="K226" s="178"/>
      <c r="L226" s="168"/>
    </row>
    <row r="227" spans="1:12" x14ac:dyDescent="0.2">
      <c r="A227" s="5" t="s">
        <v>354</v>
      </c>
      <c r="B227" s="7" t="s">
        <v>355</v>
      </c>
      <c r="C227" s="29">
        <v>-2400000</v>
      </c>
      <c r="D227" s="11">
        <v>0</v>
      </c>
      <c r="E227" s="9">
        <v>0</v>
      </c>
      <c r="F227" s="11">
        <v>0</v>
      </c>
      <c r="G227" s="9">
        <f t="shared" si="40"/>
        <v>-2400000</v>
      </c>
      <c r="H227" s="11">
        <v>0</v>
      </c>
      <c r="I227" s="240">
        <f>I576+I1013+I1415</f>
        <v>0</v>
      </c>
      <c r="J227" s="109">
        <f>J576+J1013+J1415</f>
        <v>-2400000</v>
      </c>
      <c r="K227" s="229">
        <f>K576+K1013+K1415</f>
        <v>-1500000</v>
      </c>
      <c r="L227" s="109">
        <f>L576+L1013+L1415</f>
        <v>-1500000</v>
      </c>
    </row>
    <row r="228" spans="1:12" x14ac:dyDescent="0.2">
      <c r="A228" s="5" t="s">
        <v>356</v>
      </c>
      <c r="B228" s="7" t="s">
        <v>357</v>
      </c>
      <c r="C228" s="29">
        <v>-106287000</v>
      </c>
      <c r="D228" s="11">
        <v>0</v>
      </c>
      <c r="E228" s="9">
        <v>0</v>
      </c>
      <c r="F228" s="11">
        <v>-78973000</v>
      </c>
      <c r="G228" s="9">
        <f t="shared" si="40"/>
        <v>-27314000</v>
      </c>
      <c r="H228" s="11">
        <v>74.3</v>
      </c>
      <c r="I228" s="240">
        <f>I876</f>
        <v>0</v>
      </c>
      <c r="J228" s="109">
        <f t="shared" ref="J228:L228" si="63">J876</f>
        <v>-106287000</v>
      </c>
      <c r="K228" s="229">
        <f t="shared" si="63"/>
        <v>-105489000</v>
      </c>
      <c r="L228" s="109">
        <f t="shared" si="63"/>
        <v>-102169000</v>
      </c>
    </row>
    <row r="229" spans="1:12" x14ac:dyDescent="0.2">
      <c r="A229" s="5" t="s">
        <v>358</v>
      </c>
      <c r="B229" s="7" t="s">
        <v>1004</v>
      </c>
      <c r="C229" s="29">
        <v>-1600000</v>
      </c>
      <c r="D229" s="11">
        <v>-268889</v>
      </c>
      <c r="E229" s="9">
        <v>0</v>
      </c>
      <c r="F229" s="11">
        <v>-413110.7</v>
      </c>
      <c r="G229" s="9">
        <f t="shared" ref="G229:G299" si="64">C229-E229-F229</f>
        <v>-1186889.3</v>
      </c>
      <c r="H229" s="11">
        <v>25.81</v>
      </c>
      <c r="I229" s="240">
        <f>I877</f>
        <v>0</v>
      </c>
      <c r="J229" s="109">
        <f t="shared" ref="J229:L229" si="65">J877</f>
        <v>-1600000</v>
      </c>
      <c r="K229" s="229">
        <f t="shared" si="65"/>
        <v>-1625000</v>
      </c>
      <c r="L229" s="109">
        <f t="shared" si="65"/>
        <v>-1700000</v>
      </c>
    </row>
    <row r="230" spans="1:12" x14ac:dyDescent="0.2">
      <c r="A230" s="5" t="s">
        <v>359</v>
      </c>
      <c r="B230" s="7" t="s">
        <v>1005</v>
      </c>
      <c r="C230" s="29">
        <v>-930000</v>
      </c>
      <c r="D230" s="11">
        <v>-434200</v>
      </c>
      <c r="E230" s="9">
        <v>0</v>
      </c>
      <c r="F230" s="11">
        <v>-481400</v>
      </c>
      <c r="G230" s="9">
        <f t="shared" si="64"/>
        <v>-448600</v>
      </c>
      <c r="H230" s="11">
        <v>51.76</v>
      </c>
      <c r="I230" s="240">
        <f>I878</f>
        <v>0</v>
      </c>
      <c r="J230" s="109">
        <f t="shared" ref="J230:L230" si="66">J878</f>
        <v>-930000</v>
      </c>
      <c r="K230" s="229">
        <f t="shared" si="66"/>
        <v>-957000</v>
      </c>
      <c r="L230" s="109">
        <f t="shared" si="66"/>
        <v>-1033000</v>
      </c>
    </row>
    <row r="231" spans="1:12" x14ac:dyDescent="0.2">
      <c r="A231" s="5"/>
      <c r="B231" s="7"/>
      <c r="C231" s="29"/>
      <c r="D231" s="11"/>
      <c r="E231" s="9"/>
      <c r="F231" s="11"/>
      <c r="G231" s="9">
        <f t="shared" si="64"/>
        <v>0</v>
      </c>
      <c r="H231" s="11"/>
      <c r="I231" s="240"/>
      <c r="J231" s="162"/>
      <c r="K231" s="169"/>
      <c r="L231" s="162"/>
    </row>
    <row r="232" spans="1:12" s="3" customFormat="1" ht="15" x14ac:dyDescent="0.25">
      <c r="A232" s="18"/>
      <c r="B232" s="19" t="s">
        <v>360</v>
      </c>
      <c r="C232" s="28">
        <v>-111217000</v>
      </c>
      <c r="D232" s="21">
        <v>-703089</v>
      </c>
      <c r="E232" s="20">
        <v>0</v>
      </c>
      <c r="F232" s="21">
        <v>-79867510.700000003</v>
      </c>
      <c r="G232" s="9">
        <f t="shared" si="64"/>
        <v>-31349489.299999997</v>
      </c>
      <c r="H232" s="21">
        <v>71.81</v>
      </c>
      <c r="I232" s="238">
        <f>SUM(I227:I230)</f>
        <v>0</v>
      </c>
      <c r="J232" s="168">
        <f t="shared" si="61"/>
        <v>-111217000</v>
      </c>
      <c r="K232" s="242">
        <f t="shared" ref="K232:L232" si="67">SUM(K227:K230)</f>
        <v>-109571000</v>
      </c>
      <c r="L232" s="170">
        <f t="shared" si="67"/>
        <v>-106402000</v>
      </c>
    </row>
    <row r="233" spans="1:12" s="3" customFormat="1" ht="15" x14ac:dyDescent="0.25">
      <c r="A233" s="18"/>
      <c r="B233" s="19"/>
      <c r="C233" s="28"/>
      <c r="D233" s="21"/>
      <c r="E233" s="20"/>
      <c r="F233" s="21"/>
      <c r="G233" s="9">
        <f t="shared" si="64"/>
        <v>0</v>
      </c>
      <c r="H233" s="21"/>
      <c r="I233" s="238"/>
      <c r="J233" s="168"/>
      <c r="K233" s="178"/>
      <c r="L233" s="168"/>
    </row>
    <row r="234" spans="1:12" s="3" customFormat="1" ht="15" x14ac:dyDescent="0.25">
      <c r="A234" s="18"/>
      <c r="B234" s="19" t="s">
        <v>361</v>
      </c>
      <c r="C234" s="28"/>
      <c r="D234" s="21"/>
      <c r="E234" s="20"/>
      <c r="F234" s="21"/>
      <c r="G234" s="9">
        <f t="shared" si="64"/>
        <v>0</v>
      </c>
      <c r="H234" s="21"/>
      <c r="I234" s="238"/>
      <c r="J234" s="168"/>
      <c r="K234" s="178"/>
      <c r="L234" s="168"/>
    </row>
    <row r="235" spans="1:12" x14ac:dyDescent="0.2">
      <c r="A235" s="5" t="s">
        <v>362</v>
      </c>
      <c r="B235" s="7" t="s">
        <v>363</v>
      </c>
      <c r="C235" s="29">
        <v>-30017000</v>
      </c>
      <c r="D235" s="11">
        <v>-10808096.710000001</v>
      </c>
      <c r="E235" s="9">
        <v>0</v>
      </c>
      <c r="F235" s="11">
        <v>-12463964.449999999</v>
      </c>
      <c r="G235" s="9">
        <f t="shared" si="64"/>
        <v>-17553035.550000001</v>
      </c>
      <c r="H235" s="11">
        <v>41.52</v>
      </c>
      <c r="I235" s="241">
        <f>I1184</f>
        <v>-320857</v>
      </c>
      <c r="J235" s="109">
        <f t="shared" ref="J235:L235" si="68">J1184</f>
        <v>-30337857</v>
      </c>
      <c r="K235" s="229">
        <f t="shared" si="68"/>
        <v>-31097000</v>
      </c>
      <c r="L235" s="109">
        <f t="shared" si="68"/>
        <v>-32715000</v>
      </c>
    </row>
    <row r="236" spans="1:12" x14ac:dyDescent="0.2">
      <c r="A236" s="5" t="s">
        <v>364</v>
      </c>
      <c r="B236" s="7" t="s">
        <v>365</v>
      </c>
      <c r="C236" s="29">
        <v>-401576</v>
      </c>
      <c r="D236" s="11">
        <v>0</v>
      </c>
      <c r="E236" s="9">
        <v>0</v>
      </c>
      <c r="F236" s="11">
        <v>0</v>
      </c>
      <c r="G236" s="9">
        <f t="shared" si="64"/>
        <v>-401576</v>
      </c>
      <c r="H236" s="11">
        <v>0</v>
      </c>
      <c r="I236" s="241">
        <f>I1020</f>
        <v>0</v>
      </c>
      <c r="J236" s="109">
        <f t="shared" ref="J236:L236" si="69">J1020</f>
        <v>-401576</v>
      </c>
      <c r="K236" s="229">
        <f t="shared" si="69"/>
        <v>0</v>
      </c>
      <c r="L236" s="109">
        <f t="shared" si="69"/>
        <v>0</v>
      </c>
    </row>
    <row r="237" spans="1:12" x14ac:dyDescent="0.2">
      <c r="A237" s="5" t="s">
        <v>366</v>
      </c>
      <c r="B237" s="7" t="s">
        <v>367</v>
      </c>
      <c r="C237" s="29">
        <v>-1000000</v>
      </c>
      <c r="D237" s="11">
        <v>-186310</v>
      </c>
      <c r="E237" s="9">
        <v>0</v>
      </c>
      <c r="F237" s="11">
        <v>-283830</v>
      </c>
      <c r="G237" s="9">
        <f t="shared" si="64"/>
        <v>-716170</v>
      </c>
      <c r="H237" s="11">
        <v>28.38</v>
      </c>
      <c r="I237" s="241">
        <f>I1185</f>
        <v>0</v>
      </c>
      <c r="J237" s="109">
        <f t="shared" ref="J237:L237" si="70">J1185</f>
        <v>-1000000</v>
      </c>
      <c r="K237" s="229">
        <f t="shared" si="70"/>
        <v>0</v>
      </c>
      <c r="L237" s="109">
        <f t="shared" si="70"/>
        <v>0</v>
      </c>
    </row>
    <row r="238" spans="1:12" ht="15" x14ac:dyDescent="0.25">
      <c r="A238" s="5"/>
      <c r="B238" s="7"/>
      <c r="C238" s="29"/>
      <c r="D238" s="11"/>
      <c r="E238" s="9"/>
      <c r="F238" s="11"/>
      <c r="G238" s="9">
        <f t="shared" si="64"/>
        <v>0</v>
      </c>
      <c r="H238" s="11"/>
      <c r="I238" s="240"/>
      <c r="J238" s="168"/>
      <c r="K238" s="169"/>
      <c r="L238" s="162"/>
    </row>
    <row r="239" spans="1:12" s="3" customFormat="1" ht="15" x14ac:dyDescent="0.25">
      <c r="A239" s="18"/>
      <c r="B239" s="19" t="s">
        <v>368</v>
      </c>
      <c r="C239" s="28">
        <v>-31418576</v>
      </c>
      <c r="D239" s="21">
        <v>-10994406.710000001</v>
      </c>
      <c r="E239" s="20">
        <v>0</v>
      </c>
      <c r="F239" s="21">
        <v>-12747794.449999999</v>
      </c>
      <c r="G239" s="9">
        <f t="shared" si="64"/>
        <v>-18670781.550000001</v>
      </c>
      <c r="H239" s="21">
        <v>40.57</v>
      </c>
      <c r="I239" s="238">
        <f>SUM(I235:I237)</f>
        <v>-320857</v>
      </c>
      <c r="J239" s="168">
        <f t="shared" si="61"/>
        <v>-31739433</v>
      </c>
      <c r="K239" s="242">
        <f t="shared" ref="K239:L239" si="71">SUM(K235:K237)</f>
        <v>-31097000</v>
      </c>
      <c r="L239" s="170">
        <f t="shared" si="71"/>
        <v>-32715000</v>
      </c>
    </row>
    <row r="240" spans="1:12" s="3" customFormat="1" ht="15" x14ac:dyDescent="0.25">
      <c r="A240" s="18"/>
      <c r="B240" s="19"/>
      <c r="C240" s="28"/>
      <c r="D240" s="21"/>
      <c r="E240" s="20"/>
      <c r="F240" s="21"/>
      <c r="G240" s="9">
        <f t="shared" si="64"/>
        <v>0</v>
      </c>
      <c r="H240" s="21"/>
      <c r="I240" s="238"/>
      <c r="J240" s="168"/>
      <c r="K240" s="178"/>
      <c r="L240" s="168"/>
    </row>
    <row r="241" spans="1:12" s="3" customFormat="1" ht="15" x14ac:dyDescent="0.25">
      <c r="A241" s="18"/>
      <c r="B241" s="19" t="s">
        <v>369</v>
      </c>
      <c r="C241" s="28"/>
      <c r="D241" s="21"/>
      <c r="E241" s="20"/>
      <c r="F241" s="21"/>
      <c r="G241" s="9">
        <f t="shared" si="64"/>
        <v>0</v>
      </c>
      <c r="H241" s="21"/>
      <c r="I241" s="238"/>
      <c r="J241" s="168"/>
      <c r="K241" s="178"/>
      <c r="L241" s="168"/>
    </row>
    <row r="242" spans="1:12" s="3" customFormat="1" ht="15" x14ac:dyDescent="0.25">
      <c r="A242" s="18"/>
      <c r="B242" s="19"/>
      <c r="C242" s="28"/>
      <c r="D242" s="21"/>
      <c r="E242" s="20"/>
      <c r="F242" s="21"/>
      <c r="G242" s="9">
        <f t="shared" si="64"/>
        <v>0</v>
      </c>
      <c r="H242" s="21"/>
      <c r="I242" s="238"/>
      <c r="J242" s="168"/>
      <c r="K242" s="178"/>
      <c r="L242" s="168"/>
    </row>
    <row r="243" spans="1:12" x14ac:dyDescent="0.2">
      <c r="A243" s="5" t="s">
        <v>370</v>
      </c>
      <c r="B243" s="7" t="s">
        <v>371</v>
      </c>
      <c r="C243" s="29">
        <v>-1200000</v>
      </c>
      <c r="D243" s="11">
        <v>-331148.62</v>
      </c>
      <c r="E243" s="9">
        <v>0</v>
      </c>
      <c r="F243" s="11">
        <v>-977508.48</v>
      </c>
      <c r="G243" s="9">
        <f t="shared" si="64"/>
        <v>-222491.52000000002</v>
      </c>
      <c r="H243" s="11">
        <v>81.45</v>
      </c>
      <c r="I243" s="240">
        <f>I884</f>
        <v>-1000000</v>
      </c>
      <c r="J243" s="109">
        <f t="shared" ref="J243:L243" si="72">J884</f>
        <v>-2200000</v>
      </c>
      <c r="K243" s="229">
        <f t="shared" si="72"/>
        <v>-2332000</v>
      </c>
      <c r="L243" s="109">
        <f t="shared" si="72"/>
        <v>-2471920</v>
      </c>
    </row>
    <row r="244" spans="1:12" ht="15" x14ac:dyDescent="0.25">
      <c r="A244" s="5"/>
      <c r="B244" s="7"/>
      <c r="C244" s="29"/>
      <c r="D244" s="11"/>
      <c r="E244" s="9"/>
      <c r="F244" s="11"/>
      <c r="G244" s="9">
        <f t="shared" si="64"/>
        <v>0</v>
      </c>
      <c r="H244" s="11"/>
      <c r="I244" s="240"/>
      <c r="J244" s="168"/>
      <c r="K244" s="169"/>
      <c r="L244" s="162"/>
    </row>
    <row r="245" spans="1:12" s="3" customFormat="1" ht="15" x14ac:dyDescent="0.25">
      <c r="A245" s="18"/>
      <c r="B245" s="19" t="s">
        <v>1006</v>
      </c>
      <c r="C245" s="28">
        <v>-1200000</v>
      </c>
      <c r="D245" s="21">
        <v>-331148.62</v>
      </c>
      <c r="E245" s="20">
        <v>0</v>
      </c>
      <c r="F245" s="21">
        <v>-977508.48</v>
      </c>
      <c r="G245" s="9">
        <f t="shared" si="64"/>
        <v>-222491.52000000002</v>
      </c>
      <c r="H245" s="21">
        <v>81.45</v>
      </c>
      <c r="I245" s="238">
        <f>I243</f>
        <v>-1000000</v>
      </c>
      <c r="J245" s="168">
        <f t="shared" si="61"/>
        <v>-2200000</v>
      </c>
      <c r="K245" s="242">
        <f t="shared" ref="K245:L245" si="73">K243</f>
        <v>-2332000</v>
      </c>
      <c r="L245" s="170">
        <f t="shared" si="73"/>
        <v>-2471920</v>
      </c>
    </row>
    <row r="246" spans="1:12" s="3" customFormat="1" ht="15" x14ac:dyDescent="0.25">
      <c r="A246" s="18"/>
      <c r="B246" s="19"/>
      <c r="C246" s="28"/>
      <c r="D246" s="21"/>
      <c r="E246" s="20"/>
      <c r="F246" s="21"/>
      <c r="G246" s="9">
        <f t="shared" si="64"/>
        <v>0</v>
      </c>
      <c r="H246" s="21"/>
      <c r="I246" s="238"/>
      <c r="J246" s="168"/>
      <c r="K246" s="178"/>
      <c r="L246" s="168"/>
    </row>
    <row r="247" spans="1:12" s="3" customFormat="1" ht="15" x14ac:dyDescent="0.25">
      <c r="A247" s="18"/>
      <c r="B247" s="19" t="s">
        <v>372</v>
      </c>
      <c r="C247" s="28"/>
      <c r="D247" s="21"/>
      <c r="E247" s="20"/>
      <c r="F247" s="21"/>
      <c r="G247" s="9">
        <f t="shared" si="64"/>
        <v>0</v>
      </c>
      <c r="H247" s="21"/>
      <c r="I247" s="238"/>
      <c r="J247" s="168"/>
      <c r="K247" s="178"/>
      <c r="L247" s="168"/>
    </row>
    <row r="248" spans="1:12" s="3" customFormat="1" ht="15" x14ac:dyDescent="0.25">
      <c r="A248" s="18"/>
      <c r="B248" s="19"/>
      <c r="C248" s="28"/>
      <c r="D248" s="21"/>
      <c r="E248" s="20"/>
      <c r="F248" s="21"/>
      <c r="G248" s="9">
        <f t="shared" si="64"/>
        <v>0</v>
      </c>
      <c r="H248" s="21"/>
      <c r="I248" s="238"/>
      <c r="J248" s="168"/>
      <c r="K248" s="178"/>
      <c r="L248" s="168"/>
    </row>
    <row r="249" spans="1:12" x14ac:dyDescent="0.2">
      <c r="A249" s="5" t="s">
        <v>373</v>
      </c>
      <c r="B249" s="7" t="s">
        <v>374</v>
      </c>
      <c r="C249" s="29">
        <v>-4569726</v>
      </c>
      <c r="D249" s="11">
        <v>-264720.45</v>
      </c>
      <c r="E249" s="9">
        <v>0</v>
      </c>
      <c r="F249" s="11">
        <v>-1534007.22</v>
      </c>
      <c r="G249" s="9">
        <f t="shared" si="64"/>
        <v>-3035718.7800000003</v>
      </c>
      <c r="H249" s="11">
        <v>33.56</v>
      </c>
      <c r="I249" s="240">
        <f>I890</f>
        <v>0</v>
      </c>
      <c r="J249" s="109">
        <f t="shared" ref="J249:L249" si="74">J890</f>
        <v>-4569726</v>
      </c>
      <c r="K249" s="229">
        <f t="shared" si="74"/>
        <v>-4843909.5599999996</v>
      </c>
      <c r="L249" s="109">
        <f t="shared" si="74"/>
        <v>-5134544.1335999994</v>
      </c>
    </row>
    <row r="250" spans="1:12" ht="15" x14ac:dyDescent="0.25">
      <c r="A250" s="5"/>
      <c r="B250" s="7"/>
      <c r="C250" s="29"/>
      <c r="D250" s="11"/>
      <c r="E250" s="9"/>
      <c r="F250" s="11"/>
      <c r="G250" s="9">
        <f t="shared" si="64"/>
        <v>0</v>
      </c>
      <c r="H250" s="11"/>
      <c r="I250" s="240"/>
      <c r="J250" s="168"/>
      <c r="K250" s="169"/>
      <c r="L250" s="162"/>
    </row>
    <row r="251" spans="1:12" s="3" customFormat="1" ht="15" x14ac:dyDescent="0.25">
      <c r="A251" s="18"/>
      <c r="B251" s="19" t="s">
        <v>1007</v>
      </c>
      <c r="C251" s="28">
        <v>-4569726</v>
      </c>
      <c r="D251" s="21">
        <v>-264720.45</v>
      </c>
      <c r="E251" s="20">
        <v>0</v>
      </c>
      <c r="F251" s="21">
        <v>-1534007.22</v>
      </c>
      <c r="G251" s="9">
        <f t="shared" si="64"/>
        <v>-3035718.7800000003</v>
      </c>
      <c r="H251" s="21">
        <v>33.56</v>
      </c>
      <c r="I251" s="238">
        <f>I249</f>
        <v>0</v>
      </c>
      <c r="J251" s="168">
        <f t="shared" si="61"/>
        <v>-4569726</v>
      </c>
      <c r="K251" s="242">
        <f t="shared" ref="K251:L251" si="75">K249</f>
        <v>-4843909.5599999996</v>
      </c>
      <c r="L251" s="170">
        <f t="shared" si="75"/>
        <v>-5134544.1335999994</v>
      </c>
    </row>
    <row r="252" spans="1:12" s="3" customFormat="1" ht="15" x14ac:dyDescent="0.25">
      <c r="A252" s="18"/>
      <c r="B252" s="19"/>
      <c r="C252" s="28"/>
      <c r="D252" s="21"/>
      <c r="E252" s="20"/>
      <c r="F252" s="21"/>
      <c r="G252" s="9">
        <f t="shared" si="64"/>
        <v>0</v>
      </c>
      <c r="H252" s="21"/>
      <c r="I252" s="238"/>
      <c r="J252" s="168"/>
      <c r="K252" s="178"/>
      <c r="L252" s="168"/>
    </row>
    <row r="253" spans="1:12" s="3" customFormat="1" ht="15" x14ac:dyDescent="0.25">
      <c r="A253" s="18"/>
      <c r="B253" s="19" t="s">
        <v>375</v>
      </c>
      <c r="C253" s="28"/>
      <c r="D253" s="21"/>
      <c r="E253" s="20"/>
      <c r="F253" s="21"/>
      <c r="G253" s="9">
        <f t="shared" si="64"/>
        <v>0</v>
      </c>
      <c r="H253" s="21"/>
      <c r="I253" s="238"/>
      <c r="J253" s="168"/>
      <c r="K253" s="178"/>
      <c r="L253" s="168"/>
    </row>
    <row r="254" spans="1:12" s="3" customFormat="1" ht="15" x14ac:dyDescent="0.25">
      <c r="A254" s="18"/>
      <c r="B254" s="19"/>
      <c r="C254" s="28"/>
      <c r="D254" s="21"/>
      <c r="E254" s="20"/>
      <c r="F254" s="21"/>
      <c r="G254" s="9">
        <f t="shared" si="64"/>
        <v>0</v>
      </c>
      <c r="H254" s="21"/>
      <c r="I254" s="238"/>
      <c r="J254" s="168"/>
      <c r="K254" s="178"/>
      <c r="L254" s="168"/>
    </row>
    <row r="255" spans="1:12" x14ac:dyDescent="0.2">
      <c r="A255" s="5" t="s">
        <v>376</v>
      </c>
      <c r="B255" s="7" t="s">
        <v>377</v>
      </c>
      <c r="C255" s="29">
        <v>-225978</v>
      </c>
      <c r="D255" s="11">
        <v>-9645.44</v>
      </c>
      <c r="E255" s="9">
        <v>0</v>
      </c>
      <c r="F255" s="11">
        <v>-67246.289999999994</v>
      </c>
      <c r="G255" s="9">
        <f t="shared" si="64"/>
        <v>-158731.71000000002</v>
      </c>
      <c r="H255" s="11">
        <v>29.75</v>
      </c>
      <c r="I255" s="240">
        <f>I1026</f>
        <v>0</v>
      </c>
      <c r="J255" s="109">
        <f t="shared" ref="J255:L255" si="76">J1026</f>
        <v>-225978</v>
      </c>
      <c r="K255" s="229">
        <f t="shared" si="76"/>
        <v>-239536.68</v>
      </c>
      <c r="L255" s="109">
        <f t="shared" si="76"/>
        <v>-253908.88079999998</v>
      </c>
    </row>
    <row r="256" spans="1:12" x14ac:dyDescent="0.2">
      <c r="A256" s="5" t="s">
        <v>378</v>
      </c>
      <c r="B256" s="7" t="s">
        <v>379</v>
      </c>
      <c r="C256" s="29">
        <v>-30392</v>
      </c>
      <c r="D256" s="11">
        <v>-15102.66</v>
      </c>
      <c r="E256" s="9">
        <v>0</v>
      </c>
      <c r="F256" s="11">
        <v>-29519.45</v>
      </c>
      <c r="G256" s="9">
        <f t="shared" si="64"/>
        <v>-872.54999999999927</v>
      </c>
      <c r="H256" s="11">
        <v>97.12</v>
      </c>
      <c r="I256" s="240">
        <f>I582</f>
        <v>-30480.55</v>
      </c>
      <c r="J256" s="109">
        <f t="shared" ref="J256:L256" si="77">J582</f>
        <v>-60872.55</v>
      </c>
      <c r="K256" s="229">
        <f t="shared" si="77"/>
        <v>-64524.903000000006</v>
      </c>
      <c r="L256" s="109">
        <f t="shared" si="77"/>
        <v>-68396.39718</v>
      </c>
    </row>
    <row r="257" spans="1:12" ht="15" x14ac:dyDescent="0.25">
      <c r="A257" s="5"/>
      <c r="B257" s="7"/>
      <c r="C257" s="29"/>
      <c r="D257" s="11"/>
      <c r="E257" s="9"/>
      <c r="F257" s="11"/>
      <c r="G257" s="9"/>
      <c r="H257" s="11"/>
      <c r="I257" s="240"/>
      <c r="J257" s="168"/>
      <c r="K257" s="169"/>
      <c r="L257" s="162"/>
    </row>
    <row r="258" spans="1:12" s="3" customFormat="1" ht="15" x14ac:dyDescent="0.25">
      <c r="A258" s="18"/>
      <c r="B258" s="19" t="s">
        <v>380</v>
      </c>
      <c r="C258" s="28">
        <v>-256370</v>
      </c>
      <c r="D258" s="21">
        <v>-24748.1</v>
      </c>
      <c r="E258" s="20">
        <v>0</v>
      </c>
      <c r="F258" s="21">
        <v>-96765.74</v>
      </c>
      <c r="G258" s="20">
        <f t="shared" si="64"/>
        <v>-159604.26</v>
      </c>
      <c r="H258" s="21">
        <v>37.74</v>
      </c>
      <c r="I258" s="238">
        <f>SUM(I255:I256)</f>
        <v>-30480.55</v>
      </c>
      <c r="J258" s="168">
        <f>C258+I258</f>
        <v>-286850.55</v>
      </c>
      <c r="K258" s="242">
        <f t="shared" ref="K258:L258" si="78">SUM(K255:K256)</f>
        <v>-304061.58299999998</v>
      </c>
      <c r="L258" s="170">
        <f t="shared" si="78"/>
        <v>-322305.27798000001</v>
      </c>
    </row>
    <row r="259" spans="1:12" s="3" customFormat="1" ht="15" x14ac:dyDescent="0.25">
      <c r="A259" s="18"/>
      <c r="B259" s="19"/>
      <c r="C259" s="28"/>
      <c r="D259" s="21"/>
      <c r="E259" s="20"/>
      <c r="F259" s="21"/>
      <c r="G259" s="20"/>
      <c r="H259" s="21"/>
      <c r="I259" s="238"/>
      <c r="J259" s="168"/>
      <c r="K259" s="178"/>
      <c r="L259" s="168"/>
    </row>
    <row r="260" spans="1:12" s="3" customFormat="1" ht="15" x14ac:dyDescent="0.25">
      <c r="A260" s="18"/>
      <c r="B260" s="19" t="s">
        <v>381</v>
      </c>
      <c r="C260" s="28"/>
      <c r="D260" s="21"/>
      <c r="E260" s="20"/>
      <c r="F260" s="21"/>
      <c r="G260" s="20"/>
      <c r="H260" s="21"/>
      <c r="I260" s="238"/>
      <c r="J260" s="168"/>
      <c r="K260" s="178"/>
      <c r="L260" s="168"/>
    </row>
    <row r="261" spans="1:12" ht="15" x14ac:dyDescent="0.25">
      <c r="A261" s="5"/>
      <c r="B261" s="7"/>
      <c r="C261" s="29"/>
      <c r="D261" s="11"/>
      <c r="E261" s="9"/>
      <c r="F261" s="11"/>
      <c r="G261" s="9"/>
      <c r="H261" s="11"/>
      <c r="I261" s="240"/>
      <c r="J261" s="168"/>
      <c r="K261" s="169"/>
      <c r="L261" s="162"/>
    </row>
    <row r="262" spans="1:12" x14ac:dyDescent="0.2">
      <c r="A262" s="5" t="s">
        <v>382</v>
      </c>
      <c r="B262" s="7" t="s">
        <v>383</v>
      </c>
      <c r="C262" s="29">
        <v>-2492</v>
      </c>
      <c r="D262" s="11">
        <v>0</v>
      </c>
      <c r="E262" s="9">
        <v>0</v>
      </c>
      <c r="F262" s="11">
        <v>-600</v>
      </c>
      <c r="G262" s="9">
        <f t="shared" si="64"/>
        <v>-1892</v>
      </c>
      <c r="H262" s="11">
        <v>24.07</v>
      </c>
      <c r="I262" s="240">
        <f>I465+I587</f>
        <v>-1200</v>
      </c>
      <c r="J262" s="109">
        <f t="shared" ref="J262:L262" si="79">J465+J587</f>
        <v>-3692</v>
      </c>
      <c r="K262" s="229">
        <f t="shared" si="79"/>
        <v>-3913.52</v>
      </c>
      <c r="L262" s="109">
        <f t="shared" si="79"/>
        <v>-4148.3311999999996</v>
      </c>
    </row>
    <row r="263" spans="1:12" x14ac:dyDescent="0.2">
      <c r="A263" s="5" t="s">
        <v>384</v>
      </c>
      <c r="B263" s="7" t="s">
        <v>385</v>
      </c>
      <c r="C263" s="29">
        <v>-1003</v>
      </c>
      <c r="D263" s="11">
        <v>0</v>
      </c>
      <c r="E263" s="9">
        <v>0</v>
      </c>
      <c r="F263" s="11">
        <v>-96.93</v>
      </c>
      <c r="G263" s="9">
        <f t="shared" si="64"/>
        <v>-906.06999999999994</v>
      </c>
      <c r="H263" s="11">
        <v>9.66</v>
      </c>
      <c r="I263" s="240">
        <f>I1032</f>
        <v>803</v>
      </c>
      <c r="J263" s="109">
        <f t="shared" ref="J263:L263" si="80">J1032</f>
        <v>-200</v>
      </c>
      <c r="K263" s="229">
        <f t="shared" si="80"/>
        <v>-212</v>
      </c>
      <c r="L263" s="109">
        <f t="shared" si="80"/>
        <v>-224.72</v>
      </c>
    </row>
    <row r="264" spans="1:12" x14ac:dyDescent="0.2">
      <c r="A264" s="5" t="s">
        <v>386</v>
      </c>
      <c r="B264" s="7" t="s">
        <v>387</v>
      </c>
      <c r="C264" s="29">
        <v>-59616</v>
      </c>
      <c r="D264" s="11">
        <v>-1387.96</v>
      </c>
      <c r="E264" s="9">
        <v>0</v>
      </c>
      <c r="F264" s="11">
        <v>-7679.59</v>
      </c>
      <c r="G264" s="9">
        <f t="shared" si="64"/>
        <v>-51936.41</v>
      </c>
      <c r="H264" s="11">
        <v>12.88</v>
      </c>
      <c r="I264" s="240">
        <f>I588</f>
        <v>44256.82</v>
      </c>
      <c r="J264" s="109">
        <f t="shared" ref="J264:L264" si="81">J588</f>
        <v>-15359.18</v>
      </c>
      <c r="K264" s="229">
        <f t="shared" si="81"/>
        <v>-16280.730800000001</v>
      </c>
      <c r="L264" s="109">
        <f t="shared" si="81"/>
        <v>-17257.574648000002</v>
      </c>
    </row>
    <row r="265" spans="1:12" x14ac:dyDescent="0.2">
      <c r="A265" s="5" t="s">
        <v>388</v>
      </c>
      <c r="B265" s="7" t="s">
        <v>389</v>
      </c>
      <c r="C265" s="29">
        <v>-36781</v>
      </c>
      <c r="D265" s="11">
        <v>-120.09</v>
      </c>
      <c r="E265" s="9">
        <v>0</v>
      </c>
      <c r="F265" s="11">
        <v>-4162.96</v>
      </c>
      <c r="G265" s="9">
        <f t="shared" si="64"/>
        <v>-32618.04</v>
      </c>
      <c r="H265" s="11">
        <v>11.31</v>
      </c>
      <c r="I265" s="240">
        <f>I589</f>
        <v>45106.92</v>
      </c>
      <c r="J265" s="109">
        <f t="shared" ref="J265:L265" si="82">J589</f>
        <v>8325.9199999999983</v>
      </c>
      <c r="K265" s="229">
        <f t="shared" si="82"/>
        <v>8825.4751999999989</v>
      </c>
      <c r="L265" s="109">
        <f t="shared" si="82"/>
        <v>9355.0037119999979</v>
      </c>
    </row>
    <row r="266" spans="1:12" x14ac:dyDescent="0.2">
      <c r="A266" s="5" t="s">
        <v>390</v>
      </c>
      <c r="B266" s="7" t="s">
        <v>391</v>
      </c>
      <c r="C266" s="29">
        <v>-50134</v>
      </c>
      <c r="D266" s="11">
        <v>0</v>
      </c>
      <c r="E266" s="9">
        <v>0</v>
      </c>
      <c r="F266" s="11">
        <v>-12139.36</v>
      </c>
      <c r="G266" s="9">
        <f t="shared" si="64"/>
        <v>-37994.639999999999</v>
      </c>
      <c r="H266" s="11">
        <v>24.21</v>
      </c>
      <c r="I266" s="240">
        <f>I1314</f>
        <v>25855.279999999999</v>
      </c>
      <c r="J266" s="109">
        <f t="shared" ref="J266:L266" si="83">J1314</f>
        <v>-24278.720000000001</v>
      </c>
      <c r="K266" s="229">
        <f t="shared" si="83"/>
        <v>-25735.443200000002</v>
      </c>
      <c r="L266" s="109">
        <f t="shared" si="83"/>
        <v>-27279.569792000002</v>
      </c>
    </row>
    <row r="267" spans="1:12" x14ac:dyDescent="0.2">
      <c r="A267" s="5" t="s">
        <v>392</v>
      </c>
      <c r="B267" s="7" t="s">
        <v>393</v>
      </c>
      <c r="C267" s="29">
        <v>-5253</v>
      </c>
      <c r="D267" s="11">
        <v>-1680</v>
      </c>
      <c r="E267" s="9">
        <v>0</v>
      </c>
      <c r="F267" s="11">
        <v>-7688</v>
      </c>
      <c r="G267" s="9">
        <f t="shared" si="64"/>
        <v>2435</v>
      </c>
      <c r="H267" s="11">
        <v>146.35</v>
      </c>
      <c r="I267" s="240">
        <f>I1034</f>
        <v>-4747</v>
      </c>
      <c r="J267" s="109">
        <f t="shared" ref="J267:L267" si="84">J1034</f>
        <v>-10000</v>
      </c>
      <c r="K267" s="229">
        <f t="shared" si="84"/>
        <v>-10600</v>
      </c>
      <c r="L267" s="109">
        <f t="shared" si="84"/>
        <v>-11236</v>
      </c>
    </row>
    <row r="268" spans="1:12" x14ac:dyDescent="0.2">
      <c r="A268" s="5" t="s">
        <v>394</v>
      </c>
      <c r="B268" s="7" t="s">
        <v>187</v>
      </c>
      <c r="C268" s="29">
        <v>-416</v>
      </c>
      <c r="D268" s="11">
        <v>-18150.5</v>
      </c>
      <c r="E268" s="9">
        <v>0</v>
      </c>
      <c r="F268" s="11">
        <v>-18250.5</v>
      </c>
      <c r="G268" s="9">
        <f t="shared" si="64"/>
        <v>17834.5</v>
      </c>
      <c r="H268" s="11">
        <v>999.99</v>
      </c>
      <c r="I268" s="240">
        <f>I1035</f>
        <v>-1333.5</v>
      </c>
      <c r="J268" s="109">
        <f t="shared" ref="J268:L268" si="85">J1035</f>
        <v>-1749.5</v>
      </c>
      <c r="K268" s="229">
        <f t="shared" si="85"/>
        <v>-1854.47</v>
      </c>
      <c r="L268" s="109">
        <f t="shared" si="85"/>
        <v>-1965.7382</v>
      </c>
    </row>
    <row r="269" spans="1:12" s="258" customFormat="1" x14ac:dyDescent="0.2">
      <c r="A269" s="253" t="s">
        <v>395</v>
      </c>
      <c r="B269" s="254" t="s">
        <v>191</v>
      </c>
      <c r="C269" s="255">
        <v>-64940</v>
      </c>
      <c r="D269" s="256">
        <v>-2546.0500000000002</v>
      </c>
      <c r="E269" s="257">
        <v>0</v>
      </c>
      <c r="F269" s="256">
        <v>-205813.09</v>
      </c>
      <c r="G269" s="257">
        <f t="shared" si="64"/>
        <v>140873.09</v>
      </c>
      <c r="H269" s="256">
        <v>316.92</v>
      </c>
      <c r="I269" s="32">
        <f>I1315</f>
        <v>-243779.64</v>
      </c>
      <c r="J269" s="227">
        <f t="shared" ref="J269:L269" si="86">J1315</f>
        <v>-308719.64</v>
      </c>
      <c r="K269" s="225">
        <f t="shared" si="86"/>
        <v>-327242.81839999999</v>
      </c>
      <c r="L269" s="227">
        <f t="shared" si="86"/>
        <v>-346877.38750399998</v>
      </c>
    </row>
    <row r="270" spans="1:12" x14ac:dyDescent="0.2">
      <c r="A270" s="5" t="s">
        <v>396</v>
      </c>
      <c r="B270" s="7" t="s">
        <v>397</v>
      </c>
      <c r="C270" s="29">
        <v>-791</v>
      </c>
      <c r="D270" s="11">
        <v>0</v>
      </c>
      <c r="E270" s="9">
        <v>0</v>
      </c>
      <c r="F270" s="11">
        <v>-26.32</v>
      </c>
      <c r="G270" s="9">
        <f t="shared" si="64"/>
        <v>-764.68</v>
      </c>
      <c r="H270" s="11">
        <v>3.32</v>
      </c>
      <c r="I270" s="240">
        <f>I1037</f>
        <v>600</v>
      </c>
      <c r="J270" s="109">
        <f t="shared" ref="J270:L270" si="87">J1037</f>
        <v>-191</v>
      </c>
      <c r="K270" s="229">
        <f t="shared" si="87"/>
        <v>-202.46</v>
      </c>
      <c r="L270" s="109">
        <f t="shared" si="87"/>
        <v>-214.60760000000002</v>
      </c>
    </row>
    <row r="271" spans="1:12" x14ac:dyDescent="0.2">
      <c r="A271" s="5" t="s">
        <v>398</v>
      </c>
      <c r="B271" s="7" t="s">
        <v>399</v>
      </c>
      <c r="C271" s="29">
        <v>-220000</v>
      </c>
      <c r="D271" s="11">
        <v>0</v>
      </c>
      <c r="E271" s="9">
        <v>0</v>
      </c>
      <c r="F271" s="11">
        <v>0</v>
      </c>
      <c r="G271" s="9">
        <f t="shared" si="64"/>
        <v>-220000</v>
      </c>
      <c r="H271" s="11">
        <v>0</v>
      </c>
      <c r="I271" s="240">
        <f>I466</f>
        <v>0</v>
      </c>
      <c r="J271" s="109">
        <f t="shared" ref="J271:L271" si="88">J466</f>
        <v>-220000</v>
      </c>
      <c r="K271" s="229">
        <f t="shared" si="88"/>
        <v>-233200</v>
      </c>
      <c r="L271" s="109">
        <f t="shared" si="88"/>
        <v>-247192</v>
      </c>
    </row>
    <row r="272" spans="1:12" x14ac:dyDescent="0.2">
      <c r="A272" s="5" t="s">
        <v>400</v>
      </c>
      <c r="B272" s="7" t="s">
        <v>401</v>
      </c>
      <c r="C272" s="29">
        <v>-21432</v>
      </c>
      <c r="D272" s="11">
        <v>0</v>
      </c>
      <c r="E272" s="9">
        <v>0</v>
      </c>
      <c r="F272" s="11">
        <v>-12798.21</v>
      </c>
      <c r="G272" s="9">
        <f t="shared" si="64"/>
        <v>-8633.7900000000009</v>
      </c>
      <c r="H272" s="11">
        <v>59.71</v>
      </c>
      <c r="I272" s="240">
        <f>I1316</f>
        <v>0</v>
      </c>
      <c r="J272" s="109">
        <f t="shared" ref="J272:L272" si="89">J1316</f>
        <v>-21432</v>
      </c>
      <c r="K272" s="229">
        <f t="shared" si="89"/>
        <v>-22717.919999999998</v>
      </c>
      <c r="L272" s="109">
        <f t="shared" si="89"/>
        <v>-24080.995199999998</v>
      </c>
    </row>
    <row r="273" spans="1:12" x14ac:dyDescent="0.2">
      <c r="A273" s="5" t="s">
        <v>404</v>
      </c>
      <c r="B273" s="7" t="s">
        <v>402</v>
      </c>
      <c r="C273" s="29">
        <v>-2209</v>
      </c>
      <c r="D273" s="11">
        <v>0</v>
      </c>
      <c r="E273" s="9">
        <v>0</v>
      </c>
      <c r="F273" s="11">
        <v>0</v>
      </c>
      <c r="G273" s="9">
        <f t="shared" si="64"/>
        <v>-2209</v>
      </c>
      <c r="H273" s="11">
        <v>0</v>
      </c>
      <c r="I273" s="240">
        <f>I1038</f>
        <v>0</v>
      </c>
      <c r="J273" s="109">
        <f t="shared" ref="J273:L273" si="90">J1038</f>
        <v>-2209</v>
      </c>
      <c r="K273" s="229">
        <f t="shared" si="90"/>
        <v>-2341.54</v>
      </c>
      <c r="L273" s="109">
        <f t="shared" si="90"/>
        <v>-2482.0324000000001</v>
      </c>
    </row>
    <row r="274" spans="1:12" x14ac:dyDescent="0.2">
      <c r="A274" s="5" t="s">
        <v>405</v>
      </c>
      <c r="B274" s="7" t="s">
        <v>406</v>
      </c>
      <c r="C274" s="29">
        <v>-24592</v>
      </c>
      <c r="D274" s="11">
        <v>-989.52</v>
      </c>
      <c r="E274" s="9">
        <v>0</v>
      </c>
      <c r="F274" s="11">
        <v>-14720.75</v>
      </c>
      <c r="G274" s="9">
        <f t="shared" si="64"/>
        <v>-9871.25</v>
      </c>
      <c r="H274" s="11">
        <v>59.85</v>
      </c>
      <c r="I274" s="240">
        <f>I1317</f>
        <v>0</v>
      </c>
      <c r="J274" s="109">
        <f t="shared" ref="J274:L274" si="91">J1317</f>
        <v>-24592</v>
      </c>
      <c r="K274" s="229">
        <f t="shared" si="91"/>
        <v>-26067.52</v>
      </c>
      <c r="L274" s="109">
        <f t="shared" si="91"/>
        <v>-27631.571199999998</v>
      </c>
    </row>
    <row r="275" spans="1:12" s="258" customFormat="1" x14ac:dyDescent="0.2">
      <c r="A275" s="253" t="s">
        <v>1043</v>
      </c>
      <c r="B275" s="254" t="s">
        <v>407</v>
      </c>
      <c r="C275" s="255">
        <v>0</v>
      </c>
      <c r="D275" s="256">
        <v>0</v>
      </c>
      <c r="E275" s="257">
        <v>0</v>
      </c>
      <c r="F275" s="256">
        <v>0</v>
      </c>
      <c r="G275" s="257">
        <v>0</v>
      </c>
      <c r="H275" s="256">
        <v>0</v>
      </c>
      <c r="I275" s="32">
        <f>I590</f>
        <v>0</v>
      </c>
      <c r="J275" s="227">
        <f t="shared" ref="J275:L275" si="92">J590</f>
        <v>0</v>
      </c>
      <c r="K275" s="225">
        <f t="shared" si="92"/>
        <v>-2000000</v>
      </c>
      <c r="L275" s="227">
        <f t="shared" si="92"/>
        <v>-3550000</v>
      </c>
    </row>
    <row r="276" spans="1:12" x14ac:dyDescent="0.2">
      <c r="A276" s="5" t="s">
        <v>1044</v>
      </c>
      <c r="B276" s="7" t="s">
        <v>412</v>
      </c>
      <c r="C276" s="29">
        <v>0</v>
      </c>
      <c r="D276" s="11">
        <v>0</v>
      </c>
      <c r="E276" s="9">
        <v>0</v>
      </c>
      <c r="F276" s="11">
        <v>0</v>
      </c>
      <c r="G276" s="9">
        <v>0</v>
      </c>
      <c r="H276" s="11">
        <v>0</v>
      </c>
      <c r="I276" s="70">
        <f>I896</f>
        <v>-3354726.8</v>
      </c>
      <c r="J276" s="162">
        <f t="shared" ref="J276:L276" si="93">J896</f>
        <v>-3354726.8</v>
      </c>
      <c r="K276" s="169">
        <f t="shared" si="93"/>
        <v>-3805630.4079999998</v>
      </c>
      <c r="L276" s="162">
        <f t="shared" si="93"/>
        <v>-3327910.2324799998</v>
      </c>
    </row>
    <row r="277" spans="1:12" s="258" customFormat="1" x14ac:dyDescent="0.2">
      <c r="A277" s="253"/>
      <c r="B277" s="254" t="s">
        <v>1097</v>
      </c>
      <c r="C277" s="255"/>
      <c r="D277" s="256"/>
      <c r="E277" s="257"/>
      <c r="F277" s="256"/>
      <c r="G277" s="257"/>
      <c r="H277" s="256"/>
      <c r="I277" s="32">
        <f>I897</f>
        <v>-10597720</v>
      </c>
      <c r="J277" s="32">
        <f t="shared" ref="J277:L277" si="94">J897</f>
        <v>-10597720</v>
      </c>
      <c r="K277" s="32">
        <f t="shared" si="94"/>
        <v>-12233583.199999999</v>
      </c>
      <c r="L277" s="32">
        <f t="shared" si="94"/>
        <v>-12967598.192</v>
      </c>
    </row>
    <row r="278" spans="1:12" x14ac:dyDescent="0.2">
      <c r="A278" s="5" t="s">
        <v>409</v>
      </c>
      <c r="B278" s="7" t="s">
        <v>410</v>
      </c>
      <c r="C278" s="29">
        <v>-170783</v>
      </c>
      <c r="D278" s="11">
        <v>0</v>
      </c>
      <c r="E278" s="9">
        <v>0</v>
      </c>
      <c r="F278" s="11">
        <v>-76647.08</v>
      </c>
      <c r="G278" s="9">
        <f t="shared" si="64"/>
        <v>-94135.92</v>
      </c>
      <c r="H278" s="11">
        <v>44.87</v>
      </c>
      <c r="I278" s="240">
        <f>I467</f>
        <v>0</v>
      </c>
      <c r="J278" s="109">
        <f t="shared" ref="J278:L278" si="95">J467</f>
        <v>-170783</v>
      </c>
      <c r="K278" s="229">
        <f t="shared" si="95"/>
        <v>-181029.98</v>
      </c>
      <c r="L278" s="109">
        <f t="shared" si="95"/>
        <v>-191891.7788</v>
      </c>
    </row>
    <row r="279" spans="1:12" x14ac:dyDescent="0.2">
      <c r="A279" s="5" t="s">
        <v>413</v>
      </c>
      <c r="B279" s="7" t="s">
        <v>414</v>
      </c>
      <c r="C279" s="29">
        <v>-246997</v>
      </c>
      <c r="D279" s="11">
        <v>0</v>
      </c>
      <c r="E279" s="9">
        <v>0</v>
      </c>
      <c r="F279" s="11">
        <v>-201829.46</v>
      </c>
      <c r="G279" s="9">
        <f t="shared" si="64"/>
        <v>-45167.540000000008</v>
      </c>
      <c r="H279" s="11">
        <v>81.709999999999994</v>
      </c>
      <c r="I279" s="240">
        <f>I898</f>
        <v>-156661.92000000001</v>
      </c>
      <c r="J279" s="109">
        <f t="shared" ref="J279:L279" si="96">J898</f>
        <v>-403658.92000000004</v>
      </c>
      <c r="K279" s="229">
        <f t="shared" si="96"/>
        <v>-427878.45520000003</v>
      </c>
      <c r="L279" s="109">
        <f t="shared" si="96"/>
        <v>-453551.16251200001</v>
      </c>
    </row>
    <row r="280" spans="1:12" x14ac:dyDescent="0.2">
      <c r="A280" s="5" t="s">
        <v>415</v>
      </c>
      <c r="B280" s="7" t="s">
        <v>416</v>
      </c>
      <c r="C280" s="29">
        <v>-22260</v>
      </c>
      <c r="D280" s="11">
        <v>0</v>
      </c>
      <c r="E280" s="9">
        <v>0</v>
      </c>
      <c r="F280" s="11">
        <v>-12003.86</v>
      </c>
      <c r="G280" s="9">
        <f t="shared" si="64"/>
        <v>-10256.14</v>
      </c>
      <c r="H280" s="11">
        <v>53.92</v>
      </c>
      <c r="I280" s="240">
        <f>I592</f>
        <v>0</v>
      </c>
      <c r="J280" s="109">
        <f t="shared" ref="J280:L280" si="97">J592</f>
        <v>-22260</v>
      </c>
      <c r="K280" s="229">
        <f t="shared" si="97"/>
        <v>-23595.599999999999</v>
      </c>
      <c r="L280" s="109">
        <f t="shared" si="97"/>
        <v>-25011.335999999999</v>
      </c>
    </row>
    <row r="281" spans="1:12" x14ac:dyDescent="0.2">
      <c r="A281" s="5" t="s">
        <v>417</v>
      </c>
      <c r="B281" s="7" t="s">
        <v>418</v>
      </c>
      <c r="C281" s="29">
        <v>-954154</v>
      </c>
      <c r="D281" s="11">
        <v>-100</v>
      </c>
      <c r="E281" s="9">
        <v>0</v>
      </c>
      <c r="F281" s="11">
        <v>-285650</v>
      </c>
      <c r="G281" s="9">
        <f t="shared" si="64"/>
        <v>-668504</v>
      </c>
      <c r="H281" s="11">
        <v>29.93</v>
      </c>
      <c r="I281" s="240">
        <f>I1040</f>
        <v>0</v>
      </c>
      <c r="J281" s="109">
        <f t="shared" ref="J281:L281" si="98">J1040</f>
        <v>-954154</v>
      </c>
      <c r="K281" s="229">
        <f t="shared" si="98"/>
        <v>-1011403.24</v>
      </c>
      <c r="L281" s="109">
        <f t="shared" si="98"/>
        <v>-1072087.4343999999</v>
      </c>
    </row>
    <row r="282" spans="1:12" x14ac:dyDescent="0.2">
      <c r="A282" s="5" t="s">
        <v>419</v>
      </c>
      <c r="B282" s="7" t="s">
        <v>420</v>
      </c>
      <c r="C282" s="29">
        <v>-7602114</v>
      </c>
      <c r="D282" s="11">
        <v>-433898.2</v>
      </c>
      <c r="E282" s="9">
        <v>0</v>
      </c>
      <c r="F282" s="11">
        <v>-2075282.45</v>
      </c>
      <c r="G282" s="9">
        <f t="shared" si="64"/>
        <v>-5526831.5499999998</v>
      </c>
      <c r="H282" s="11">
        <v>27.29</v>
      </c>
      <c r="I282" s="240">
        <f>I1041</f>
        <v>2000000</v>
      </c>
      <c r="J282" s="109">
        <f t="shared" ref="J282:L282" si="99">J1041</f>
        <v>-5602114</v>
      </c>
      <c r="K282" s="229">
        <f t="shared" si="99"/>
        <v>-5938240.8399999999</v>
      </c>
      <c r="L282" s="109">
        <f t="shared" si="99"/>
        <v>-6294535.2904000003</v>
      </c>
    </row>
    <row r="283" spans="1:12" x14ac:dyDescent="0.2">
      <c r="A283" s="5" t="s">
        <v>421</v>
      </c>
      <c r="B283" s="7" t="s">
        <v>422</v>
      </c>
      <c r="C283" s="29">
        <v>-1138332</v>
      </c>
      <c r="D283" s="11">
        <v>-366365.63</v>
      </c>
      <c r="E283" s="9">
        <v>0</v>
      </c>
      <c r="F283" s="11">
        <v>-902199.92</v>
      </c>
      <c r="G283" s="9">
        <f t="shared" si="64"/>
        <v>-236132.07999999996</v>
      </c>
      <c r="H283" s="11">
        <v>79.25</v>
      </c>
      <c r="I283" s="240">
        <f>I1422</f>
        <v>-666067.84</v>
      </c>
      <c r="J283" s="109">
        <f t="shared" ref="J283:L283" si="100">J1422</f>
        <v>-1804399.8399999999</v>
      </c>
      <c r="K283" s="229">
        <f t="shared" si="100"/>
        <v>-1912663.8303999999</v>
      </c>
      <c r="L283" s="109">
        <f t="shared" si="100"/>
        <v>-2103930.2134400001</v>
      </c>
    </row>
    <row r="284" spans="1:12" x14ac:dyDescent="0.2">
      <c r="A284" s="5" t="s">
        <v>423</v>
      </c>
      <c r="B284" s="7" t="s">
        <v>424</v>
      </c>
      <c r="C284" s="29">
        <v>-231076</v>
      </c>
      <c r="D284" s="11">
        <v>-60678.67</v>
      </c>
      <c r="E284" s="9">
        <v>0</v>
      </c>
      <c r="F284" s="11">
        <v>-139226.23999999999</v>
      </c>
      <c r="G284" s="9">
        <f t="shared" si="64"/>
        <v>-91849.760000000009</v>
      </c>
      <c r="H284" s="11">
        <v>60.25</v>
      </c>
      <c r="I284" s="240">
        <f>I1423</f>
        <v>-47376.480000000003</v>
      </c>
      <c r="J284" s="109">
        <f t="shared" ref="J284:L284" si="101">J1423</f>
        <v>-278452.47999999998</v>
      </c>
      <c r="K284" s="229">
        <f t="shared" si="101"/>
        <v>-295159.62880000001</v>
      </c>
      <c r="L284" s="109">
        <f t="shared" si="101"/>
        <v>-324675.59168000001</v>
      </c>
    </row>
    <row r="285" spans="1:12" ht="15" x14ac:dyDescent="0.25">
      <c r="A285" s="5"/>
      <c r="B285" s="7"/>
      <c r="C285" s="29"/>
      <c r="D285" s="11"/>
      <c r="E285" s="9"/>
      <c r="F285" s="11"/>
      <c r="G285" s="9">
        <f t="shared" si="64"/>
        <v>0</v>
      </c>
      <c r="H285" s="11"/>
      <c r="I285" s="240"/>
      <c r="J285" s="168"/>
      <c r="K285" s="169"/>
      <c r="L285" s="162"/>
    </row>
    <row r="286" spans="1:12" s="3" customFormat="1" ht="15" x14ac:dyDescent="0.25">
      <c r="A286" s="18"/>
      <c r="B286" s="19" t="s">
        <v>426</v>
      </c>
      <c r="C286" s="28">
        <v>-10855375</v>
      </c>
      <c r="D286" s="21">
        <v>-885916.62</v>
      </c>
      <c r="E286" s="20">
        <v>0</v>
      </c>
      <c r="F286" s="21">
        <v>-3979716.72</v>
      </c>
      <c r="G286" s="9">
        <f t="shared" si="64"/>
        <v>-6875658.2799999993</v>
      </c>
      <c r="H286" s="21">
        <v>36.659999999999997</v>
      </c>
      <c r="I286" s="238">
        <f>SUM(I262:I284)</f>
        <v>-12956991.16</v>
      </c>
      <c r="J286" s="170">
        <f t="shared" ref="J286:L286" si="102">SUM(J262:J284)</f>
        <v>-23812366.16</v>
      </c>
      <c r="K286" s="242">
        <f t="shared" si="102"/>
        <v>-28490728.129600003</v>
      </c>
      <c r="L286" s="170">
        <f t="shared" si="102"/>
        <v>-31012426.755743999</v>
      </c>
    </row>
    <row r="287" spans="1:12" s="3" customFormat="1" ht="15" x14ac:dyDescent="0.25">
      <c r="A287" s="18"/>
      <c r="B287" s="19"/>
      <c r="C287" s="28"/>
      <c r="D287" s="21"/>
      <c r="E287" s="20"/>
      <c r="F287" s="21"/>
      <c r="G287" s="9">
        <f t="shared" si="64"/>
        <v>0</v>
      </c>
      <c r="H287" s="21"/>
      <c r="I287" s="238"/>
      <c r="J287" s="168"/>
      <c r="K287" s="178"/>
      <c r="L287" s="168"/>
    </row>
    <row r="288" spans="1:12" s="3" customFormat="1" ht="15" x14ac:dyDescent="0.25">
      <c r="A288" s="18"/>
      <c r="B288" s="19" t="s">
        <v>427</v>
      </c>
      <c r="C288" s="28">
        <v>-182667005</v>
      </c>
      <c r="D288" s="21">
        <v>-14626932.99</v>
      </c>
      <c r="E288" s="20">
        <v>0</v>
      </c>
      <c r="F288" s="21">
        <v>-107856487.33</v>
      </c>
      <c r="G288" s="9">
        <f t="shared" si="64"/>
        <v>-74810517.670000002</v>
      </c>
      <c r="H288" s="21">
        <v>59.04</v>
      </c>
      <c r="I288" s="238">
        <f>I217+I224+I232+I239+I245+I251+I258+I286</f>
        <v>-13115623.949999999</v>
      </c>
      <c r="J288" s="170">
        <f t="shared" ref="J288:L288" si="103">J217+J224+J232+J239+J245+J251+J258+J286</f>
        <v>-195782628.95000002</v>
      </c>
      <c r="K288" s="242">
        <f t="shared" si="103"/>
        <v>-199913387.70700002</v>
      </c>
      <c r="L288" s="170">
        <f t="shared" si="103"/>
        <v>-202729365.90778801</v>
      </c>
    </row>
    <row r="289" spans="1:12" ht="15" x14ac:dyDescent="0.25">
      <c r="A289" s="5"/>
      <c r="B289" s="7"/>
      <c r="C289" s="29"/>
      <c r="D289" s="11"/>
      <c r="E289" s="9"/>
      <c r="F289" s="11"/>
      <c r="G289" s="9">
        <f t="shared" si="64"/>
        <v>0</v>
      </c>
      <c r="H289" s="11"/>
      <c r="I289" s="238"/>
      <c r="J289" s="168"/>
      <c r="K289" s="169"/>
      <c r="L289" s="162"/>
    </row>
    <row r="290" spans="1:12" s="3" customFormat="1" ht="15" x14ac:dyDescent="0.25">
      <c r="A290" s="18"/>
      <c r="B290" s="19" t="s">
        <v>428</v>
      </c>
      <c r="C290" s="28">
        <v>-182667005</v>
      </c>
      <c r="D290" s="21">
        <v>-14626932.99</v>
      </c>
      <c r="E290" s="20">
        <v>0</v>
      </c>
      <c r="F290" s="21">
        <v>-107856487.33</v>
      </c>
      <c r="G290" s="9">
        <f t="shared" si="64"/>
        <v>-74810517.670000002</v>
      </c>
      <c r="H290" s="21">
        <v>59.04</v>
      </c>
      <c r="I290" s="238">
        <f t="shared" ref="I290:L290" si="104">I219+I226+I234+I241+I247+I253+I260+I288</f>
        <v>-13115623.949999999</v>
      </c>
      <c r="J290" s="170">
        <f t="shared" si="104"/>
        <v>-195782628.95000002</v>
      </c>
      <c r="K290" s="242">
        <f t="shared" si="104"/>
        <v>-199913387.70700002</v>
      </c>
      <c r="L290" s="170">
        <f t="shared" si="104"/>
        <v>-202729365.90778801</v>
      </c>
    </row>
    <row r="291" spans="1:12" ht="15" x14ac:dyDescent="0.25">
      <c r="A291" s="5"/>
      <c r="B291" s="7"/>
      <c r="C291" s="29"/>
      <c r="D291" s="11"/>
      <c r="E291" s="9"/>
      <c r="F291" s="11"/>
      <c r="G291" s="9">
        <f t="shared" si="64"/>
        <v>0</v>
      </c>
      <c r="H291" s="11"/>
      <c r="I291" s="238"/>
      <c r="J291" s="168"/>
      <c r="K291" s="169"/>
      <c r="L291" s="162"/>
    </row>
    <row r="292" spans="1:12" s="3" customFormat="1" ht="15" x14ac:dyDescent="0.25">
      <c r="A292" s="18"/>
      <c r="B292" s="19" t="s">
        <v>429</v>
      </c>
      <c r="C292" s="28">
        <v>-182667005</v>
      </c>
      <c r="D292" s="21">
        <v>-14626932.99</v>
      </c>
      <c r="E292" s="20">
        <v>0</v>
      </c>
      <c r="F292" s="21">
        <v>-107856487.33</v>
      </c>
      <c r="G292" s="9">
        <f t="shared" si="64"/>
        <v>-74810517.670000002</v>
      </c>
      <c r="H292" s="21">
        <v>59.04</v>
      </c>
      <c r="I292" s="238">
        <f>I290</f>
        <v>-13115623.949999999</v>
      </c>
      <c r="J292" s="170">
        <f t="shared" ref="J292:L292" si="105">J290</f>
        <v>-195782628.95000002</v>
      </c>
      <c r="K292" s="242">
        <f t="shared" si="105"/>
        <v>-199913387.70700002</v>
      </c>
      <c r="L292" s="170">
        <f t="shared" si="105"/>
        <v>-202729365.90778801</v>
      </c>
    </row>
    <row r="293" spans="1:12" s="3" customFormat="1" ht="15" x14ac:dyDescent="0.25">
      <c r="A293" s="18"/>
      <c r="B293" s="19"/>
      <c r="C293" s="28"/>
      <c r="D293" s="21"/>
      <c r="E293" s="20"/>
      <c r="F293" s="21"/>
      <c r="G293" s="9">
        <f t="shared" si="64"/>
        <v>0</v>
      </c>
      <c r="H293" s="21"/>
      <c r="I293" s="238"/>
      <c r="J293" s="168"/>
      <c r="K293" s="178"/>
      <c r="L293" s="168"/>
    </row>
    <row r="294" spans="1:12" s="3" customFormat="1" ht="15" x14ac:dyDescent="0.25">
      <c r="A294" s="18"/>
      <c r="B294" s="19" t="s">
        <v>430</v>
      </c>
      <c r="C294" s="28"/>
      <c r="D294" s="21"/>
      <c r="E294" s="20"/>
      <c r="F294" s="21"/>
      <c r="G294" s="9">
        <f t="shared" si="64"/>
        <v>0</v>
      </c>
      <c r="H294" s="21"/>
      <c r="I294" s="238"/>
      <c r="J294" s="168"/>
      <c r="K294" s="178"/>
      <c r="L294" s="168"/>
    </row>
    <row r="295" spans="1:12" s="3" customFormat="1" ht="15" x14ac:dyDescent="0.25">
      <c r="A295" s="18"/>
      <c r="B295" s="19"/>
      <c r="C295" s="28"/>
      <c r="D295" s="21"/>
      <c r="E295" s="20"/>
      <c r="F295" s="21"/>
      <c r="G295" s="9">
        <f t="shared" si="64"/>
        <v>0</v>
      </c>
      <c r="H295" s="21"/>
      <c r="I295" s="238"/>
      <c r="J295" s="168"/>
      <c r="K295" s="178"/>
      <c r="L295" s="168"/>
    </row>
    <row r="296" spans="1:12" s="3" customFormat="1" ht="15" x14ac:dyDescent="0.25">
      <c r="A296" s="18"/>
      <c r="B296" s="19" t="s">
        <v>431</v>
      </c>
      <c r="C296" s="28"/>
      <c r="D296" s="21"/>
      <c r="E296" s="20"/>
      <c r="F296" s="21"/>
      <c r="G296" s="9">
        <f t="shared" si="64"/>
        <v>0</v>
      </c>
      <c r="H296" s="21"/>
      <c r="I296" s="238"/>
      <c r="J296" s="168"/>
      <c r="K296" s="178"/>
      <c r="L296" s="168"/>
    </row>
    <row r="297" spans="1:12" x14ac:dyDescent="0.2">
      <c r="A297" s="5" t="s">
        <v>432</v>
      </c>
      <c r="B297" s="7" t="s">
        <v>433</v>
      </c>
      <c r="C297" s="29">
        <v>133114557</v>
      </c>
      <c r="D297" s="11">
        <v>9881912.4100000001</v>
      </c>
      <c r="E297" s="9">
        <v>825787.77</v>
      </c>
      <c r="F297" s="11">
        <v>53950221.840000004</v>
      </c>
      <c r="G297" s="9">
        <f t="shared" si="64"/>
        <v>78338547.390000001</v>
      </c>
      <c r="H297" s="11">
        <v>40.520000000000003</v>
      </c>
      <c r="I297" s="240">
        <f>I209</f>
        <v>11146076.48</v>
      </c>
      <c r="J297" s="109">
        <f t="shared" ref="J297:L297" si="106">J209</f>
        <v>144260633.47999999</v>
      </c>
      <c r="K297" s="229">
        <f t="shared" si="106"/>
        <v>146077181.9488</v>
      </c>
      <c r="L297" s="109">
        <f t="shared" si="106"/>
        <v>156895930.82172802</v>
      </c>
    </row>
    <row r="298" spans="1:12" x14ac:dyDescent="0.2">
      <c r="A298" s="5" t="s">
        <v>434</v>
      </c>
      <c r="B298" s="7" t="s">
        <v>429</v>
      </c>
      <c r="C298" s="29">
        <v>-182667005</v>
      </c>
      <c r="D298" s="11">
        <v>-14626932.99</v>
      </c>
      <c r="E298" s="9">
        <v>0</v>
      </c>
      <c r="F298" s="11">
        <v>-107856487.33</v>
      </c>
      <c r="G298" s="9">
        <f t="shared" si="64"/>
        <v>-74810517.670000002</v>
      </c>
      <c r="H298" s="11">
        <v>59.04</v>
      </c>
      <c r="I298" s="240">
        <f>I292</f>
        <v>-13115623.949999999</v>
      </c>
      <c r="J298" s="109">
        <f t="shared" ref="J298:L298" si="107">J292</f>
        <v>-195782628.95000002</v>
      </c>
      <c r="K298" s="229">
        <f t="shared" si="107"/>
        <v>-199913387.70700002</v>
      </c>
      <c r="L298" s="109">
        <f t="shared" si="107"/>
        <v>-202729365.90778801</v>
      </c>
    </row>
    <row r="299" spans="1:12" ht="15" x14ac:dyDescent="0.25">
      <c r="A299" s="5"/>
      <c r="B299" s="7"/>
      <c r="C299" s="29"/>
      <c r="D299" s="11"/>
      <c r="E299" s="9"/>
      <c r="F299" s="11"/>
      <c r="G299" s="9">
        <f t="shared" si="64"/>
        <v>0</v>
      </c>
      <c r="H299" s="11"/>
      <c r="I299" s="240"/>
      <c r="J299" s="168"/>
      <c r="K299" s="169"/>
      <c r="L299" s="162"/>
    </row>
    <row r="300" spans="1:12" s="3" customFormat="1" ht="15" x14ac:dyDescent="0.25">
      <c r="A300" s="18"/>
      <c r="B300" s="19" t="s">
        <v>435</v>
      </c>
      <c r="C300" s="28">
        <v>-49552448</v>
      </c>
      <c r="D300" s="21">
        <v>-4745020.58</v>
      </c>
      <c r="E300" s="20">
        <v>825787.77</v>
      </c>
      <c r="F300" s="21">
        <v>-53906265.490000002</v>
      </c>
      <c r="G300" s="9">
        <f t="shared" ref="G300:G383" si="108">C300-E300-F300</f>
        <v>3528029.7199999988</v>
      </c>
      <c r="H300" s="21">
        <v>108.78</v>
      </c>
      <c r="I300" s="238">
        <f>I297-I298</f>
        <v>24261700.43</v>
      </c>
      <c r="J300" s="170">
        <f t="shared" ref="J300:L300" si="109">J297-J298</f>
        <v>340043262.43000001</v>
      </c>
      <c r="K300" s="242">
        <f t="shared" si="109"/>
        <v>345990569.65579998</v>
      </c>
      <c r="L300" s="170">
        <f t="shared" si="109"/>
        <v>359625296.72951603</v>
      </c>
    </row>
    <row r="301" spans="1:12" s="3" customFormat="1" ht="15" x14ac:dyDescent="0.25">
      <c r="A301" s="18"/>
      <c r="B301" s="19"/>
      <c r="C301" s="28"/>
      <c r="D301" s="21"/>
      <c r="E301" s="20"/>
      <c r="F301" s="21"/>
      <c r="G301" s="9">
        <f t="shared" si="108"/>
        <v>0</v>
      </c>
      <c r="H301" s="21"/>
      <c r="I301" s="238"/>
      <c r="J301" s="168"/>
      <c r="K301" s="178"/>
      <c r="L301" s="168"/>
    </row>
    <row r="302" spans="1:12" s="3" customFormat="1" ht="15" x14ac:dyDescent="0.25">
      <c r="A302" s="18"/>
      <c r="B302" s="19" t="s">
        <v>436</v>
      </c>
      <c r="C302" s="28">
        <v>-49552448</v>
      </c>
      <c r="D302" s="21">
        <v>-4745020.58</v>
      </c>
      <c r="E302" s="20">
        <v>825787.77</v>
      </c>
      <c r="F302" s="21">
        <v>-53906265.490000002</v>
      </c>
      <c r="G302" s="9">
        <f t="shared" si="108"/>
        <v>3528029.7199999988</v>
      </c>
      <c r="H302" s="21">
        <v>108.78</v>
      </c>
      <c r="I302" s="238">
        <f>I300</f>
        <v>24261700.43</v>
      </c>
      <c r="J302" s="170">
        <f t="shared" ref="J302:L302" si="110">J300</f>
        <v>340043262.43000001</v>
      </c>
      <c r="K302" s="242">
        <f t="shared" si="110"/>
        <v>345990569.65579998</v>
      </c>
      <c r="L302" s="170">
        <f t="shared" si="110"/>
        <v>359625296.72951603</v>
      </c>
    </row>
    <row r="303" spans="1:12" s="3" customFormat="1" ht="15" x14ac:dyDescent="0.25">
      <c r="A303" s="18"/>
      <c r="B303" s="19"/>
      <c r="C303" s="28"/>
      <c r="D303" s="21"/>
      <c r="E303" s="20"/>
      <c r="F303" s="21"/>
      <c r="G303" s="9"/>
      <c r="H303" s="21"/>
      <c r="I303" s="238"/>
      <c r="J303" s="168"/>
      <c r="K303" s="178"/>
      <c r="L303" s="168"/>
    </row>
    <row r="304" spans="1:12" s="3" customFormat="1" ht="15" x14ac:dyDescent="0.25">
      <c r="A304" s="18"/>
      <c r="B304" s="19" t="s">
        <v>437</v>
      </c>
      <c r="C304" s="28"/>
      <c r="D304" s="21"/>
      <c r="E304" s="20"/>
      <c r="F304" s="21"/>
      <c r="G304" s="9"/>
      <c r="H304" s="21"/>
      <c r="I304" s="238"/>
      <c r="J304" s="168"/>
      <c r="K304" s="178"/>
      <c r="L304" s="168"/>
    </row>
    <row r="305" spans="1:13" s="3" customFormat="1" ht="15" x14ac:dyDescent="0.25">
      <c r="A305" s="18"/>
      <c r="B305" s="19"/>
      <c r="C305" s="28"/>
      <c r="D305" s="21"/>
      <c r="E305" s="20"/>
      <c r="F305" s="21"/>
      <c r="G305" s="9"/>
      <c r="H305" s="21"/>
      <c r="I305" s="238"/>
      <c r="J305" s="168"/>
      <c r="K305" s="178"/>
      <c r="L305" s="168"/>
    </row>
    <row r="306" spans="1:13" x14ac:dyDescent="0.2">
      <c r="A306" s="5" t="s">
        <v>438</v>
      </c>
      <c r="B306" s="7" t="s">
        <v>439</v>
      </c>
      <c r="C306" s="29">
        <v>510000</v>
      </c>
      <c r="D306" s="11">
        <v>0</v>
      </c>
      <c r="E306" s="9">
        <v>198000</v>
      </c>
      <c r="F306" s="11">
        <v>311200</v>
      </c>
      <c r="G306" s="9">
        <f t="shared" si="108"/>
        <v>800</v>
      </c>
      <c r="H306" s="11">
        <v>61.01</v>
      </c>
      <c r="I306" s="240">
        <f>I488</f>
        <v>200000</v>
      </c>
      <c r="J306" s="109">
        <f>C306+I306</f>
        <v>710000</v>
      </c>
      <c r="K306" s="229">
        <f>K488</f>
        <v>0</v>
      </c>
      <c r="L306" s="109">
        <f>L488</f>
        <v>0</v>
      </c>
    </row>
    <row r="307" spans="1:13" x14ac:dyDescent="0.2">
      <c r="A307" s="5"/>
      <c r="B307" s="111" t="s">
        <v>1053</v>
      </c>
      <c r="C307" s="29"/>
      <c r="D307" s="11"/>
      <c r="E307" s="9"/>
      <c r="F307" s="11"/>
      <c r="G307" s="9">
        <v>0</v>
      </c>
      <c r="H307" s="11"/>
      <c r="I307" s="240">
        <f>I489</f>
        <v>0</v>
      </c>
      <c r="J307" s="109">
        <f t="shared" ref="J307:J342" si="111">C307+I307</f>
        <v>0</v>
      </c>
      <c r="K307" s="229">
        <f>K489</f>
        <v>100000</v>
      </c>
      <c r="L307" s="109">
        <f>L489</f>
        <v>0</v>
      </c>
    </row>
    <row r="308" spans="1:13" x14ac:dyDescent="0.2">
      <c r="A308" s="5"/>
      <c r="B308" s="111" t="s">
        <v>1096</v>
      </c>
      <c r="C308" s="29">
        <v>0</v>
      </c>
      <c r="D308" s="11"/>
      <c r="E308" s="9"/>
      <c r="F308" s="11"/>
      <c r="G308" s="9"/>
      <c r="H308" s="11"/>
      <c r="I308" s="240">
        <f>I1208</f>
        <v>1413090</v>
      </c>
      <c r="J308" s="109">
        <f t="shared" si="111"/>
        <v>1413090</v>
      </c>
      <c r="K308" s="229"/>
      <c r="L308" s="109"/>
    </row>
    <row r="309" spans="1:13" x14ac:dyDescent="0.2">
      <c r="A309" s="5"/>
      <c r="B309" s="111" t="s">
        <v>1052</v>
      </c>
      <c r="C309" s="29"/>
      <c r="D309" s="11"/>
      <c r="E309" s="9"/>
      <c r="F309" s="11"/>
      <c r="G309" s="9">
        <v>0</v>
      </c>
      <c r="H309" s="11"/>
      <c r="I309" s="240">
        <f t="shared" ref="I309:L312" si="112">I490</f>
        <v>0</v>
      </c>
      <c r="J309" s="109">
        <f t="shared" si="111"/>
        <v>0</v>
      </c>
      <c r="K309" s="229">
        <f t="shared" si="112"/>
        <v>80000</v>
      </c>
      <c r="L309" s="109">
        <f t="shared" si="112"/>
        <v>0</v>
      </c>
    </row>
    <row r="310" spans="1:13" x14ac:dyDescent="0.2">
      <c r="A310" s="5"/>
      <c r="B310" s="111" t="s">
        <v>1050</v>
      </c>
      <c r="C310" s="29"/>
      <c r="D310" s="11"/>
      <c r="E310" s="9"/>
      <c r="F310" s="11"/>
      <c r="G310" s="9">
        <v>0</v>
      </c>
      <c r="H310" s="11"/>
      <c r="I310" s="240">
        <f t="shared" si="112"/>
        <v>0</v>
      </c>
      <c r="J310" s="109">
        <f t="shared" si="111"/>
        <v>0</v>
      </c>
      <c r="K310" s="229">
        <f t="shared" si="112"/>
        <v>500000</v>
      </c>
      <c r="L310" s="109">
        <f t="shared" si="112"/>
        <v>0</v>
      </c>
    </row>
    <row r="311" spans="1:13" x14ac:dyDescent="0.2">
      <c r="A311" s="5"/>
      <c r="B311" s="111" t="s">
        <v>1051</v>
      </c>
      <c r="C311" s="29"/>
      <c r="D311" s="11"/>
      <c r="E311" s="9"/>
      <c r="F311" s="11"/>
      <c r="G311" s="9">
        <v>0</v>
      </c>
      <c r="H311" s="11"/>
      <c r="I311" s="240">
        <f t="shared" si="112"/>
        <v>0</v>
      </c>
      <c r="J311" s="109">
        <f t="shared" si="111"/>
        <v>0</v>
      </c>
      <c r="K311" s="229">
        <f t="shared" si="112"/>
        <v>0</v>
      </c>
      <c r="L311" s="109">
        <f t="shared" si="112"/>
        <v>900000</v>
      </c>
    </row>
    <row r="312" spans="1:13" x14ac:dyDescent="0.2">
      <c r="A312" s="5"/>
      <c r="B312" s="111" t="s">
        <v>1054</v>
      </c>
      <c r="C312" s="29"/>
      <c r="D312" s="11"/>
      <c r="E312" s="9"/>
      <c r="F312" s="11"/>
      <c r="G312" s="9">
        <v>0</v>
      </c>
      <c r="H312" s="11"/>
      <c r="I312" s="240">
        <f t="shared" si="112"/>
        <v>0</v>
      </c>
      <c r="J312" s="109">
        <f t="shared" si="111"/>
        <v>0</v>
      </c>
      <c r="K312" s="229">
        <f t="shared" si="112"/>
        <v>300000</v>
      </c>
      <c r="L312" s="109">
        <f t="shared" si="112"/>
        <v>200000</v>
      </c>
    </row>
    <row r="313" spans="1:13" x14ac:dyDescent="0.2">
      <c r="A313" s="5" t="s">
        <v>440</v>
      </c>
      <c r="B313" s="7" t="s">
        <v>441</v>
      </c>
      <c r="C313" s="29">
        <v>100000</v>
      </c>
      <c r="D313" s="11">
        <v>0</v>
      </c>
      <c r="E313" s="9">
        <v>25470</v>
      </c>
      <c r="F313" s="11">
        <v>0</v>
      </c>
      <c r="G313" s="9">
        <f t="shared" si="108"/>
        <v>74530</v>
      </c>
      <c r="H313" s="11">
        <v>0</v>
      </c>
      <c r="I313" s="240">
        <f>I694</f>
        <v>-30000</v>
      </c>
      <c r="J313" s="109">
        <f t="shared" si="111"/>
        <v>70000</v>
      </c>
      <c r="K313" s="229">
        <f t="shared" ref="K313:L313" si="113">K694</f>
        <v>0</v>
      </c>
      <c r="L313" s="109">
        <f t="shared" si="113"/>
        <v>0</v>
      </c>
    </row>
    <row r="314" spans="1:13" s="115" customFormat="1" x14ac:dyDescent="0.2">
      <c r="A314" s="110" t="s">
        <v>1047</v>
      </c>
      <c r="B314" s="111" t="s">
        <v>1046</v>
      </c>
      <c r="C314" s="112">
        <v>0</v>
      </c>
      <c r="D314" s="113"/>
      <c r="E314" s="112"/>
      <c r="F314" s="113">
        <v>0</v>
      </c>
      <c r="G314" s="112">
        <v>0</v>
      </c>
      <c r="H314" s="113">
        <v>0</v>
      </c>
      <c r="I314" s="112">
        <f>I1066</f>
        <v>0</v>
      </c>
      <c r="J314" s="109">
        <f t="shared" si="111"/>
        <v>0</v>
      </c>
      <c r="K314" s="112">
        <f t="shared" ref="K314:L314" si="114">K1066</f>
        <v>700000</v>
      </c>
      <c r="L314" s="113">
        <f t="shared" si="114"/>
        <v>800000</v>
      </c>
      <c r="M314" s="114"/>
    </row>
    <row r="315" spans="1:13" s="115" customFormat="1" x14ac:dyDescent="0.2">
      <c r="A315" s="110"/>
      <c r="B315" s="111" t="s">
        <v>1048</v>
      </c>
      <c r="C315" s="112">
        <v>0</v>
      </c>
      <c r="D315" s="113"/>
      <c r="E315" s="112"/>
      <c r="F315" s="113"/>
      <c r="G315" s="112">
        <v>0</v>
      </c>
      <c r="H315" s="113">
        <v>0</v>
      </c>
      <c r="I315" s="112"/>
      <c r="J315" s="109">
        <f t="shared" si="111"/>
        <v>0</v>
      </c>
      <c r="K315" s="112">
        <v>0</v>
      </c>
      <c r="L315" s="113">
        <f>'[2]ALL DEPARTMENTS'!$J$1141</f>
        <v>700000</v>
      </c>
      <c r="M315" s="114"/>
    </row>
    <row r="316" spans="1:13" s="115" customFormat="1" x14ac:dyDescent="0.2">
      <c r="A316" s="110"/>
      <c r="B316" s="111" t="s">
        <v>1083</v>
      </c>
      <c r="C316" s="112"/>
      <c r="D316" s="113"/>
      <c r="E316" s="112"/>
      <c r="F316" s="113"/>
      <c r="G316" s="112">
        <v>0</v>
      </c>
      <c r="H316" s="113"/>
      <c r="I316" s="112">
        <f>I1068</f>
        <v>0</v>
      </c>
      <c r="J316" s="109">
        <f t="shared" si="111"/>
        <v>0</v>
      </c>
      <c r="K316" s="112">
        <f t="shared" ref="K316:L316" si="115">K1068</f>
        <v>500000</v>
      </c>
      <c r="L316" s="113">
        <f t="shared" si="115"/>
        <v>0</v>
      </c>
      <c r="M316" s="114"/>
    </row>
    <row r="317" spans="1:13" s="115" customFormat="1" x14ac:dyDescent="0.2">
      <c r="A317" s="110"/>
      <c r="B317" s="111" t="s">
        <v>1084</v>
      </c>
      <c r="C317" s="112"/>
      <c r="D317" s="113"/>
      <c r="E317" s="112"/>
      <c r="F317" s="113"/>
      <c r="G317" s="112">
        <v>0</v>
      </c>
      <c r="H317" s="113"/>
      <c r="I317" s="112">
        <f>I1069</f>
        <v>0</v>
      </c>
      <c r="J317" s="109">
        <f t="shared" si="111"/>
        <v>0</v>
      </c>
      <c r="K317" s="112">
        <f t="shared" ref="K317:L317" si="116">K1069</f>
        <v>300000</v>
      </c>
      <c r="L317" s="113">
        <f t="shared" si="116"/>
        <v>0</v>
      </c>
      <c r="M317" s="114"/>
    </row>
    <row r="318" spans="1:13" s="115" customFormat="1" x14ac:dyDescent="0.2">
      <c r="A318" s="110"/>
      <c r="B318" s="111" t="s">
        <v>1085</v>
      </c>
      <c r="C318" s="112"/>
      <c r="D318" s="113"/>
      <c r="E318" s="112"/>
      <c r="F318" s="113"/>
      <c r="G318" s="112">
        <v>0</v>
      </c>
      <c r="H318" s="113"/>
      <c r="I318" s="112">
        <f>I1070</f>
        <v>0</v>
      </c>
      <c r="J318" s="109">
        <f t="shared" si="111"/>
        <v>0</v>
      </c>
      <c r="K318" s="112">
        <f t="shared" ref="K318:L318" si="117">K1070</f>
        <v>120000</v>
      </c>
      <c r="L318" s="113">
        <f t="shared" si="117"/>
        <v>0</v>
      </c>
      <c r="M318" s="114"/>
    </row>
    <row r="319" spans="1:13" x14ac:dyDescent="0.2">
      <c r="A319" s="5" t="s">
        <v>442</v>
      </c>
      <c r="B319" s="7" t="s">
        <v>443</v>
      </c>
      <c r="C319" s="29">
        <v>198424</v>
      </c>
      <c r="D319" s="11">
        <v>0</v>
      </c>
      <c r="E319" s="9">
        <v>0</v>
      </c>
      <c r="F319" s="11">
        <v>0</v>
      </c>
      <c r="G319" s="9">
        <f t="shared" si="108"/>
        <v>198424</v>
      </c>
      <c r="H319" s="11">
        <v>0</v>
      </c>
      <c r="I319" s="240">
        <f>I1071</f>
        <v>0</v>
      </c>
      <c r="J319" s="109">
        <f t="shared" si="111"/>
        <v>198424</v>
      </c>
      <c r="K319" s="229">
        <f t="shared" ref="K319:L319" si="118">K1071</f>
        <v>0</v>
      </c>
      <c r="L319" s="109">
        <f t="shared" si="118"/>
        <v>0</v>
      </c>
    </row>
    <row r="320" spans="1:13" x14ac:dyDescent="0.2">
      <c r="A320" s="5" t="s">
        <v>445</v>
      </c>
      <c r="B320" s="7" t="s">
        <v>446</v>
      </c>
      <c r="C320" s="29">
        <v>500000</v>
      </c>
      <c r="D320" s="11">
        <v>0</v>
      </c>
      <c r="E320" s="9">
        <v>0</v>
      </c>
      <c r="F320" s="11">
        <v>0</v>
      </c>
      <c r="G320" s="9">
        <f t="shared" si="108"/>
        <v>500000</v>
      </c>
      <c r="H320" s="11">
        <v>0</v>
      </c>
      <c r="I320" s="240">
        <f>I1210</f>
        <v>-80000</v>
      </c>
      <c r="J320" s="109">
        <f t="shared" si="111"/>
        <v>420000</v>
      </c>
      <c r="K320" s="229">
        <f t="shared" ref="K320:L320" si="119">K1210</f>
        <v>0</v>
      </c>
      <c r="L320" s="109">
        <f t="shared" si="119"/>
        <v>0</v>
      </c>
    </row>
    <row r="321" spans="1:12" x14ac:dyDescent="0.2">
      <c r="A321" s="5" t="s">
        <v>447</v>
      </c>
      <c r="B321" s="7" t="s">
        <v>448</v>
      </c>
      <c r="C321" s="29">
        <v>500000</v>
      </c>
      <c r="D321" s="11">
        <v>0</v>
      </c>
      <c r="E321" s="9">
        <v>0</v>
      </c>
      <c r="F321" s="11">
        <v>0</v>
      </c>
      <c r="G321" s="9">
        <f t="shared" si="108"/>
        <v>500000</v>
      </c>
      <c r="H321" s="11">
        <v>0</v>
      </c>
      <c r="I321" s="240">
        <f>I1211</f>
        <v>-80000</v>
      </c>
      <c r="J321" s="109">
        <f t="shared" si="111"/>
        <v>420000</v>
      </c>
      <c r="K321" s="229">
        <f t="shared" ref="K321:L321" si="120">K1211</f>
        <v>0</v>
      </c>
      <c r="L321" s="109">
        <f t="shared" si="120"/>
        <v>0</v>
      </c>
    </row>
    <row r="322" spans="1:12" x14ac:dyDescent="0.2">
      <c r="A322" s="5" t="s">
        <v>450</v>
      </c>
      <c r="B322" s="7" t="s">
        <v>451</v>
      </c>
      <c r="C322" s="29">
        <v>1200000</v>
      </c>
      <c r="D322" s="11">
        <v>0</v>
      </c>
      <c r="E322" s="9">
        <v>0</v>
      </c>
      <c r="F322" s="11">
        <v>0</v>
      </c>
      <c r="G322" s="9">
        <f t="shared" si="108"/>
        <v>1200000</v>
      </c>
      <c r="H322" s="11">
        <v>0</v>
      </c>
      <c r="I322" s="240">
        <f>I1341</f>
        <v>442332</v>
      </c>
      <c r="J322" s="109">
        <f t="shared" si="111"/>
        <v>1642332</v>
      </c>
      <c r="K322" s="229">
        <f t="shared" ref="K322:L322" si="121">K1341</f>
        <v>1500000</v>
      </c>
      <c r="L322" s="109">
        <f t="shared" si="121"/>
        <v>1800000</v>
      </c>
    </row>
    <row r="323" spans="1:12" x14ac:dyDescent="0.2">
      <c r="A323" s="5" t="s">
        <v>452</v>
      </c>
      <c r="B323" s="7" t="s">
        <v>453</v>
      </c>
      <c r="C323" s="29">
        <v>700000</v>
      </c>
      <c r="D323" s="11">
        <v>795760</v>
      </c>
      <c r="E323" s="9">
        <v>0</v>
      </c>
      <c r="F323" s="11">
        <v>795760</v>
      </c>
      <c r="G323" s="9">
        <f t="shared" si="108"/>
        <v>-95760</v>
      </c>
      <c r="H323" s="11">
        <v>113.68</v>
      </c>
      <c r="I323" s="240">
        <f>I1344</f>
        <v>498854.41</v>
      </c>
      <c r="J323" s="109">
        <f t="shared" si="111"/>
        <v>1198854.4099999999</v>
      </c>
      <c r="K323" s="229">
        <f t="shared" ref="K323:L323" si="122">K1344</f>
        <v>0</v>
      </c>
      <c r="L323" s="109">
        <f t="shared" si="122"/>
        <v>0</v>
      </c>
    </row>
    <row r="324" spans="1:12" x14ac:dyDescent="0.2">
      <c r="A324" s="5" t="s">
        <v>454</v>
      </c>
      <c r="B324" s="7" t="s">
        <v>455</v>
      </c>
      <c r="C324" s="29">
        <v>10000000</v>
      </c>
      <c r="D324" s="11">
        <v>0</v>
      </c>
      <c r="E324" s="9">
        <v>0</v>
      </c>
      <c r="F324" s="11">
        <v>0</v>
      </c>
      <c r="G324" s="9">
        <f t="shared" si="108"/>
        <v>10000000</v>
      </c>
      <c r="H324" s="11">
        <v>0</v>
      </c>
      <c r="I324" s="240">
        <f>I1213</f>
        <v>0</v>
      </c>
      <c r="J324" s="109">
        <f t="shared" si="111"/>
        <v>10000000</v>
      </c>
      <c r="K324" s="229">
        <f t="shared" ref="K324:L324" si="123">K1213</f>
        <v>15900000</v>
      </c>
      <c r="L324" s="109">
        <f t="shared" si="123"/>
        <v>5700000</v>
      </c>
    </row>
    <row r="325" spans="1:12" x14ac:dyDescent="0.2">
      <c r="A325" s="5" t="s">
        <v>1055</v>
      </c>
      <c r="B325" s="7" t="s">
        <v>497</v>
      </c>
      <c r="C325" s="29">
        <f>C1212</f>
        <v>3000000</v>
      </c>
      <c r="D325" s="37">
        <f t="shared" ref="D325:L325" si="124">D1212</f>
        <v>0</v>
      </c>
      <c r="E325" s="29">
        <f t="shared" si="124"/>
        <v>0</v>
      </c>
      <c r="F325" s="37">
        <f t="shared" si="124"/>
        <v>2193087.5499999998</v>
      </c>
      <c r="G325" s="29">
        <f t="shared" si="124"/>
        <v>806912.45000000019</v>
      </c>
      <c r="H325" s="11">
        <v>73.099999999999994</v>
      </c>
      <c r="I325" s="29">
        <f t="shared" si="124"/>
        <v>-806912</v>
      </c>
      <c r="J325" s="109">
        <f t="shared" si="111"/>
        <v>2193088</v>
      </c>
      <c r="K325" s="246">
        <f t="shared" si="124"/>
        <v>0</v>
      </c>
      <c r="L325" s="116">
        <f t="shared" si="124"/>
        <v>0</v>
      </c>
    </row>
    <row r="326" spans="1:12" x14ac:dyDescent="0.2">
      <c r="A326" s="5" t="s">
        <v>456</v>
      </c>
      <c r="B326" s="7" t="s">
        <v>449</v>
      </c>
      <c r="C326" s="29">
        <v>0</v>
      </c>
      <c r="D326" s="11">
        <v>0</v>
      </c>
      <c r="E326" s="9">
        <v>0</v>
      </c>
      <c r="F326" s="11">
        <v>1082928</v>
      </c>
      <c r="G326" s="9">
        <f t="shared" si="108"/>
        <v>-1082928</v>
      </c>
      <c r="H326" s="11">
        <v>0</v>
      </c>
      <c r="I326" s="240">
        <f>I1214</f>
        <v>1234538</v>
      </c>
      <c r="J326" s="109">
        <f t="shared" si="111"/>
        <v>1234538</v>
      </c>
      <c r="K326" s="229">
        <f t="shared" ref="K326:L326" si="125">K1214</f>
        <v>0</v>
      </c>
      <c r="L326" s="109">
        <f t="shared" si="125"/>
        <v>0</v>
      </c>
    </row>
    <row r="327" spans="1:12" x14ac:dyDescent="0.2">
      <c r="A327" s="5" t="s">
        <v>457</v>
      </c>
      <c r="B327" s="7" t="s">
        <v>458</v>
      </c>
      <c r="C327" s="29">
        <v>100000</v>
      </c>
      <c r="D327" s="11">
        <v>0</v>
      </c>
      <c r="E327" s="9">
        <v>87600</v>
      </c>
      <c r="F327" s="11">
        <v>0</v>
      </c>
      <c r="G327" s="9">
        <f t="shared" si="108"/>
        <v>12400</v>
      </c>
      <c r="H327" s="11">
        <v>0</v>
      </c>
      <c r="I327" s="240">
        <f>I1072</f>
        <v>0</v>
      </c>
      <c r="J327" s="109">
        <f t="shared" si="111"/>
        <v>100000</v>
      </c>
      <c r="K327" s="229">
        <f t="shared" ref="K327:L327" si="126">K1072</f>
        <v>0</v>
      </c>
      <c r="L327" s="109">
        <f t="shared" si="126"/>
        <v>0</v>
      </c>
    </row>
    <row r="328" spans="1:12" x14ac:dyDescent="0.2">
      <c r="A328" s="5" t="s">
        <v>459</v>
      </c>
      <c r="B328" s="7" t="s">
        <v>460</v>
      </c>
      <c r="C328" s="29">
        <v>500000</v>
      </c>
      <c r="D328" s="11">
        <v>0</v>
      </c>
      <c r="E328" s="9">
        <v>0</v>
      </c>
      <c r="F328" s="11">
        <v>0</v>
      </c>
      <c r="G328" s="9">
        <f t="shared" si="108"/>
        <v>500000</v>
      </c>
      <c r="H328" s="11">
        <v>0</v>
      </c>
      <c r="I328" s="240">
        <f>I1073</f>
        <v>0</v>
      </c>
      <c r="J328" s="109">
        <f t="shared" si="111"/>
        <v>500000</v>
      </c>
      <c r="K328" s="229">
        <f t="shared" ref="K328:L328" si="127">K1073</f>
        <v>0</v>
      </c>
      <c r="L328" s="109">
        <f t="shared" si="127"/>
        <v>0</v>
      </c>
    </row>
    <row r="329" spans="1:12" x14ac:dyDescent="0.2">
      <c r="A329" s="5" t="s">
        <v>461</v>
      </c>
      <c r="B329" s="7" t="s">
        <v>462</v>
      </c>
      <c r="C329" s="29">
        <v>500000</v>
      </c>
      <c r="D329" s="11">
        <v>0</v>
      </c>
      <c r="E329" s="9">
        <v>0</v>
      </c>
      <c r="F329" s="11">
        <v>0</v>
      </c>
      <c r="G329" s="9">
        <f t="shared" si="108"/>
        <v>500000</v>
      </c>
      <c r="H329" s="11">
        <v>0</v>
      </c>
      <c r="I329" s="240">
        <f>I494</f>
        <v>-29685</v>
      </c>
      <c r="J329" s="109">
        <f t="shared" si="111"/>
        <v>470315</v>
      </c>
      <c r="K329" s="229">
        <f t="shared" ref="K329:L329" si="128">K494</f>
        <v>0</v>
      </c>
      <c r="L329" s="109">
        <f t="shared" si="128"/>
        <v>0</v>
      </c>
    </row>
    <row r="330" spans="1:12" x14ac:dyDescent="0.2">
      <c r="A330" s="5" t="s">
        <v>463</v>
      </c>
      <c r="B330" s="7" t="s">
        <v>464</v>
      </c>
      <c r="C330" s="29">
        <v>500000</v>
      </c>
      <c r="D330" s="11">
        <v>0</v>
      </c>
      <c r="E330" s="9">
        <v>0</v>
      </c>
      <c r="F330" s="11">
        <v>0</v>
      </c>
      <c r="G330" s="9">
        <f t="shared" si="108"/>
        <v>500000</v>
      </c>
      <c r="H330" s="11">
        <v>0</v>
      </c>
      <c r="I330" s="240">
        <f>I1216</f>
        <v>0</v>
      </c>
      <c r="J330" s="109">
        <f t="shared" si="111"/>
        <v>500000</v>
      </c>
      <c r="K330" s="229">
        <f t="shared" ref="K330:L330" si="129">K1216</f>
        <v>0</v>
      </c>
      <c r="L330" s="109">
        <f t="shared" si="129"/>
        <v>0</v>
      </c>
    </row>
    <row r="331" spans="1:12" x14ac:dyDescent="0.2">
      <c r="A331" s="5"/>
      <c r="B331" s="111" t="s">
        <v>1087</v>
      </c>
      <c r="C331" s="29"/>
      <c r="D331" s="11"/>
      <c r="E331" s="9"/>
      <c r="F331" s="11"/>
      <c r="G331" s="9"/>
      <c r="H331" s="11"/>
      <c r="I331" s="240">
        <f>I1215</f>
        <v>0</v>
      </c>
      <c r="J331" s="109">
        <f t="shared" si="111"/>
        <v>0</v>
      </c>
      <c r="K331" s="229">
        <f t="shared" ref="K331:L331" si="130">K1215</f>
        <v>0</v>
      </c>
      <c r="L331" s="109">
        <f t="shared" si="130"/>
        <v>0</v>
      </c>
    </row>
    <row r="332" spans="1:12" x14ac:dyDescent="0.2">
      <c r="A332" s="5"/>
      <c r="B332" s="111" t="s">
        <v>1086</v>
      </c>
      <c r="C332" s="29"/>
      <c r="D332" s="11"/>
      <c r="E332" s="9"/>
      <c r="F332" s="11"/>
      <c r="G332" s="9"/>
      <c r="H332" s="11"/>
      <c r="I332" s="240">
        <f>I1209</f>
        <v>0</v>
      </c>
      <c r="J332" s="109">
        <f t="shared" si="111"/>
        <v>0</v>
      </c>
      <c r="K332" s="229">
        <f t="shared" ref="K332:L332" si="131">K1209</f>
        <v>0</v>
      </c>
      <c r="L332" s="109">
        <f t="shared" si="131"/>
        <v>0</v>
      </c>
    </row>
    <row r="333" spans="1:12" x14ac:dyDescent="0.2">
      <c r="A333" s="5" t="s">
        <v>465</v>
      </c>
      <c r="B333" s="7" t="s">
        <v>466</v>
      </c>
      <c r="C333" s="29">
        <v>1000000</v>
      </c>
      <c r="D333" s="11">
        <v>0</v>
      </c>
      <c r="E333" s="9">
        <v>0</v>
      </c>
      <c r="F333" s="11">
        <v>0</v>
      </c>
      <c r="G333" s="9">
        <f t="shared" si="108"/>
        <v>1000000</v>
      </c>
      <c r="H333" s="11">
        <v>0</v>
      </c>
      <c r="I333" s="240">
        <f>I1345</f>
        <v>-1000000</v>
      </c>
      <c r="J333" s="109">
        <f t="shared" si="111"/>
        <v>0</v>
      </c>
      <c r="K333" s="229">
        <f t="shared" ref="K333:L333" si="132">K1345</f>
        <v>0</v>
      </c>
      <c r="L333" s="109">
        <f t="shared" si="132"/>
        <v>0</v>
      </c>
    </row>
    <row r="334" spans="1:12" x14ac:dyDescent="0.2">
      <c r="A334" s="5" t="s">
        <v>467</v>
      </c>
      <c r="B334" s="7" t="s">
        <v>468</v>
      </c>
      <c r="C334" s="29">
        <v>500000</v>
      </c>
      <c r="D334" s="11">
        <v>0</v>
      </c>
      <c r="E334" s="9">
        <v>0</v>
      </c>
      <c r="F334" s="11">
        <v>0</v>
      </c>
      <c r="G334" s="9">
        <f t="shared" si="108"/>
        <v>500000</v>
      </c>
      <c r="H334" s="11">
        <v>0</v>
      </c>
      <c r="I334" s="240">
        <f>I1347</f>
        <v>0</v>
      </c>
      <c r="J334" s="109">
        <f t="shared" si="111"/>
        <v>500000</v>
      </c>
      <c r="K334" s="229">
        <f t="shared" ref="K334:L334" si="133">K1347</f>
        <v>200000</v>
      </c>
      <c r="L334" s="109">
        <f t="shared" si="133"/>
        <v>0</v>
      </c>
    </row>
    <row r="335" spans="1:12" s="115" customFormat="1" x14ac:dyDescent="0.2">
      <c r="A335" s="110"/>
      <c r="B335" s="111" t="s">
        <v>1049</v>
      </c>
      <c r="C335" s="226">
        <v>0</v>
      </c>
      <c r="D335" s="227"/>
      <c r="E335" s="225"/>
      <c r="F335" s="227"/>
      <c r="G335" s="225">
        <v>0</v>
      </c>
      <c r="H335" s="227"/>
      <c r="I335" s="225">
        <f>I1342</f>
        <v>0</v>
      </c>
      <c r="J335" s="227">
        <f t="shared" si="111"/>
        <v>0</v>
      </c>
      <c r="K335" s="225">
        <f t="shared" ref="K335:L335" si="134">K1342</f>
        <v>0</v>
      </c>
      <c r="L335" s="227">
        <f t="shared" si="134"/>
        <v>2500000</v>
      </c>
    </row>
    <row r="336" spans="1:12" s="115" customFormat="1" x14ac:dyDescent="0.2">
      <c r="A336" s="110"/>
      <c r="B336" s="111" t="s">
        <v>1088</v>
      </c>
      <c r="C336" s="226"/>
      <c r="D336" s="227"/>
      <c r="E336" s="225"/>
      <c r="F336" s="227"/>
      <c r="G336" s="225"/>
      <c r="H336" s="227"/>
      <c r="I336" s="225">
        <f>I1343</f>
        <v>0</v>
      </c>
      <c r="J336" s="227">
        <f t="shared" si="111"/>
        <v>0</v>
      </c>
      <c r="K336" s="225">
        <f t="shared" ref="K336:L336" si="135">K1343</f>
        <v>550000</v>
      </c>
      <c r="L336" s="227">
        <f t="shared" si="135"/>
        <v>0</v>
      </c>
    </row>
    <row r="337" spans="1:13" s="115" customFormat="1" x14ac:dyDescent="0.2">
      <c r="A337" s="110"/>
      <c r="B337" s="111" t="s">
        <v>1089</v>
      </c>
      <c r="C337" s="226"/>
      <c r="D337" s="227"/>
      <c r="E337" s="225"/>
      <c r="F337" s="227"/>
      <c r="G337" s="225"/>
      <c r="H337" s="227"/>
      <c r="I337" s="225">
        <f>I1346</f>
        <v>0</v>
      </c>
      <c r="J337" s="227">
        <f t="shared" si="111"/>
        <v>0</v>
      </c>
      <c r="K337" s="225">
        <f t="shared" ref="K337:L337" si="136">K1346</f>
        <v>1800000</v>
      </c>
      <c r="L337" s="227">
        <f t="shared" si="136"/>
        <v>0</v>
      </c>
    </row>
    <row r="338" spans="1:13" s="115" customFormat="1" x14ac:dyDescent="0.2">
      <c r="A338" s="110"/>
      <c r="B338" s="111" t="s">
        <v>1080</v>
      </c>
      <c r="C338" s="226"/>
      <c r="D338" s="227"/>
      <c r="E338" s="225"/>
      <c r="F338" s="227"/>
      <c r="G338" s="225">
        <v>0</v>
      </c>
      <c r="H338" s="227"/>
      <c r="I338" s="225">
        <f>I613</f>
        <v>0</v>
      </c>
      <c r="J338" s="109">
        <f t="shared" si="111"/>
        <v>0</v>
      </c>
      <c r="K338" s="225">
        <f t="shared" ref="K338:L338" si="137">K613</f>
        <v>1000000</v>
      </c>
      <c r="L338" s="227">
        <f t="shared" si="137"/>
        <v>1500000</v>
      </c>
    </row>
    <row r="339" spans="1:13" s="115" customFormat="1" x14ac:dyDescent="0.2">
      <c r="A339" s="110"/>
      <c r="B339" s="111" t="s">
        <v>1081</v>
      </c>
      <c r="C339" s="226"/>
      <c r="D339" s="227"/>
      <c r="E339" s="225"/>
      <c r="F339" s="227"/>
      <c r="G339" s="225">
        <v>0</v>
      </c>
      <c r="H339" s="227"/>
      <c r="I339" s="225">
        <f>I614</f>
        <v>0</v>
      </c>
      <c r="J339" s="109">
        <f t="shared" si="111"/>
        <v>0</v>
      </c>
      <c r="K339" s="225">
        <f t="shared" ref="K339:L339" si="138">K614</f>
        <v>500000</v>
      </c>
      <c r="L339" s="227">
        <f t="shared" si="138"/>
        <v>500000</v>
      </c>
    </row>
    <row r="340" spans="1:13" s="115" customFormat="1" x14ac:dyDescent="0.2">
      <c r="A340" s="110"/>
      <c r="B340" s="7" t="s">
        <v>1082</v>
      </c>
      <c r="C340" s="226"/>
      <c r="D340" s="227"/>
      <c r="E340" s="225"/>
      <c r="F340" s="227"/>
      <c r="G340" s="225">
        <v>0</v>
      </c>
      <c r="H340" s="227"/>
      <c r="I340" s="225">
        <f>I615</f>
        <v>0</v>
      </c>
      <c r="J340" s="109">
        <f t="shared" si="111"/>
        <v>0</v>
      </c>
      <c r="K340" s="225">
        <f t="shared" ref="K340:L340" si="139">K615</f>
        <v>135000</v>
      </c>
      <c r="L340" s="227">
        <f t="shared" si="139"/>
        <v>0</v>
      </c>
    </row>
    <row r="341" spans="1:13" s="115" customFormat="1" x14ac:dyDescent="0.2">
      <c r="A341" s="110"/>
      <c r="B341" s="254" t="s">
        <v>142</v>
      </c>
      <c r="C341" s="226"/>
      <c r="D341" s="227"/>
      <c r="E341" s="225"/>
      <c r="F341" s="227"/>
      <c r="G341" s="225">
        <v>0</v>
      </c>
      <c r="H341" s="227"/>
      <c r="I341" s="225">
        <f>I616</f>
        <v>100000</v>
      </c>
      <c r="J341" s="227">
        <f t="shared" si="111"/>
        <v>100000</v>
      </c>
      <c r="K341" s="225">
        <f t="shared" ref="K341:L341" si="140">K616</f>
        <v>0</v>
      </c>
      <c r="L341" s="227">
        <f t="shared" si="140"/>
        <v>0</v>
      </c>
    </row>
    <row r="342" spans="1:13" x14ac:dyDescent="0.2">
      <c r="A342" s="5" t="s">
        <v>469</v>
      </c>
      <c r="B342" s="7" t="s">
        <v>470</v>
      </c>
      <c r="C342" s="29">
        <f>C612</f>
        <v>500000</v>
      </c>
      <c r="D342" s="37">
        <f t="shared" ref="D342:F342" si="141">D612</f>
        <v>0</v>
      </c>
      <c r="E342" s="29">
        <f t="shared" si="141"/>
        <v>0</v>
      </c>
      <c r="F342" s="37">
        <f t="shared" si="141"/>
        <v>0</v>
      </c>
      <c r="G342" s="9">
        <f t="shared" si="108"/>
        <v>500000</v>
      </c>
      <c r="H342" s="11">
        <v>0</v>
      </c>
      <c r="I342" s="240">
        <f>I612</f>
        <v>-500000</v>
      </c>
      <c r="J342" s="109">
        <f t="shared" si="111"/>
        <v>0</v>
      </c>
      <c r="K342" s="229">
        <f t="shared" ref="K342:L342" si="142">K612</f>
        <v>0</v>
      </c>
      <c r="L342" s="109">
        <f t="shared" si="142"/>
        <v>0</v>
      </c>
    </row>
    <row r="343" spans="1:13" ht="15" x14ac:dyDescent="0.25">
      <c r="A343" s="5"/>
      <c r="B343" s="7"/>
      <c r="C343" s="29"/>
      <c r="D343" s="11"/>
      <c r="E343" s="9"/>
      <c r="F343" s="11"/>
      <c r="G343" s="9">
        <f t="shared" si="108"/>
        <v>0</v>
      </c>
      <c r="H343" s="11"/>
      <c r="I343" s="240"/>
      <c r="J343" s="168"/>
      <c r="K343" s="169"/>
      <c r="L343" s="162"/>
    </row>
    <row r="344" spans="1:13" s="3" customFormat="1" ht="15" x14ac:dyDescent="0.25">
      <c r="A344" s="18"/>
      <c r="B344" s="19" t="s">
        <v>471</v>
      </c>
      <c r="C344" s="28">
        <f>SUM(C306:C343)</f>
        <v>20308424</v>
      </c>
      <c r="D344" s="21">
        <v>795760</v>
      </c>
      <c r="E344" s="20">
        <v>311070</v>
      </c>
      <c r="F344" s="21">
        <v>4382975.55</v>
      </c>
      <c r="G344" s="20">
        <f>SUM(G306:G343)</f>
        <v>15614378.449999999</v>
      </c>
      <c r="H344" s="21">
        <v>57.59</v>
      </c>
      <c r="I344" s="238">
        <f>SUM(I305:I342)</f>
        <v>1362217.4100000001</v>
      </c>
      <c r="J344" s="168">
        <f t="shared" ref="J344:J361" si="143">C344+I344</f>
        <v>21670641.41</v>
      </c>
      <c r="K344" s="242">
        <f>SUM(K305:K342)</f>
        <v>24185000</v>
      </c>
      <c r="L344" s="170">
        <f>SUM(L305:L342)</f>
        <v>14600000</v>
      </c>
    </row>
    <row r="345" spans="1:13" s="3" customFormat="1" ht="15" x14ac:dyDescent="0.25">
      <c r="A345" s="18"/>
      <c r="B345" s="19"/>
      <c r="C345" s="28"/>
      <c r="D345" s="21"/>
      <c r="E345" s="20"/>
      <c r="F345" s="21"/>
      <c r="G345" s="20">
        <f t="shared" si="108"/>
        <v>0</v>
      </c>
      <c r="H345" s="21"/>
      <c r="I345" s="238"/>
      <c r="J345" s="168"/>
      <c r="K345" s="178"/>
      <c r="L345" s="168"/>
    </row>
    <row r="346" spans="1:13" s="3" customFormat="1" ht="15" x14ac:dyDescent="0.25">
      <c r="A346" s="18"/>
      <c r="B346" s="19" t="s">
        <v>472</v>
      </c>
      <c r="C346" s="28">
        <v>20308424</v>
      </c>
      <c r="D346" s="21">
        <v>795760</v>
      </c>
      <c r="E346" s="20">
        <v>311070</v>
      </c>
      <c r="F346" s="21">
        <v>4382975.55</v>
      </c>
      <c r="G346" s="20">
        <f>C346-E346-F346</f>
        <v>15614378.449999999</v>
      </c>
      <c r="H346" s="21">
        <v>21.58</v>
      </c>
      <c r="I346" s="238">
        <f>I344</f>
        <v>1362217.4100000001</v>
      </c>
      <c r="J346" s="170">
        <f t="shared" ref="J346:L346" si="144">J344</f>
        <v>21670641.41</v>
      </c>
      <c r="K346" s="242">
        <f t="shared" si="144"/>
        <v>24185000</v>
      </c>
      <c r="L346" s="170">
        <f t="shared" si="144"/>
        <v>14600000</v>
      </c>
      <c r="M346" s="4"/>
    </row>
    <row r="347" spans="1:13" s="3" customFormat="1" ht="15" x14ac:dyDescent="0.25">
      <c r="A347" s="18"/>
      <c r="B347" s="19"/>
      <c r="C347" s="28">
        <f>C346-C344</f>
        <v>0</v>
      </c>
      <c r="D347" s="21"/>
      <c r="E347" s="20"/>
      <c r="F347" s="21"/>
      <c r="G347" s="9"/>
      <c r="H347" s="21"/>
      <c r="I347" s="238"/>
      <c r="J347" s="168"/>
      <c r="K347" s="178"/>
      <c r="L347" s="168"/>
    </row>
    <row r="348" spans="1:13" s="3" customFormat="1" ht="15" x14ac:dyDescent="0.25">
      <c r="A348" s="18"/>
      <c r="B348" s="19" t="s">
        <v>473</v>
      </c>
      <c r="C348" s="28"/>
      <c r="D348" s="21"/>
      <c r="E348" s="20"/>
      <c r="F348" s="21"/>
      <c r="G348" s="9"/>
      <c r="H348" s="21"/>
      <c r="I348" s="238"/>
      <c r="J348" s="168"/>
      <c r="K348" s="178"/>
      <c r="L348" s="168"/>
    </row>
    <row r="349" spans="1:13" x14ac:dyDescent="0.2">
      <c r="A349" s="5" t="s">
        <v>474</v>
      </c>
      <c r="B349" s="7" t="s">
        <v>475</v>
      </c>
      <c r="C349" s="29">
        <v>0</v>
      </c>
      <c r="D349" s="11">
        <v>0</v>
      </c>
      <c r="E349" s="9">
        <v>0</v>
      </c>
      <c r="F349" s="11">
        <v>0</v>
      </c>
      <c r="G349" s="9">
        <f t="shared" si="108"/>
        <v>0</v>
      </c>
      <c r="H349" s="11">
        <v>0</v>
      </c>
      <c r="I349" s="240">
        <f>I1224</f>
        <v>73847</v>
      </c>
      <c r="J349" s="109">
        <f>C349+I349</f>
        <v>73847</v>
      </c>
      <c r="K349" s="229">
        <f t="shared" ref="K349:L349" si="145">K1224</f>
        <v>0</v>
      </c>
      <c r="L349" s="109">
        <f t="shared" si="145"/>
        <v>0</v>
      </c>
    </row>
    <row r="350" spans="1:13" x14ac:dyDescent="0.2">
      <c r="A350" s="5" t="s">
        <v>476</v>
      </c>
      <c r="B350" s="7" t="s">
        <v>477</v>
      </c>
      <c r="C350" s="29">
        <v>0</v>
      </c>
      <c r="D350" s="11">
        <v>0</v>
      </c>
      <c r="E350" s="9">
        <v>0</v>
      </c>
      <c r="F350" s="11">
        <v>0</v>
      </c>
      <c r="G350" s="9">
        <f t="shared" si="108"/>
        <v>0</v>
      </c>
      <c r="H350" s="11">
        <v>0</v>
      </c>
      <c r="I350" s="240">
        <f>I1225</f>
        <v>0</v>
      </c>
      <c r="J350" s="109">
        <f t="shared" ref="J350:J359" si="146">C350+I350</f>
        <v>0</v>
      </c>
      <c r="K350" s="169"/>
      <c r="L350" s="162"/>
    </row>
    <row r="351" spans="1:13" x14ac:dyDescent="0.2">
      <c r="A351" s="5" t="s">
        <v>478</v>
      </c>
      <c r="B351" s="7" t="s">
        <v>479</v>
      </c>
      <c r="C351" s="29">
        <v>0</v>
      </c>
      <c r="D351" s="11">
        <v>0</v>
      </c>
      <c r="E351" s="9">
        <v>0</v>
      </c>
      <c r="F351" s="11">
        <v>0</v>
      </c>
      <c r="G351" s="9">
        <f t="shared" si="108"/>
        <v>0</v>
      </c>
      <c r="H351" s="11">
        <v>0</v>
      </c>
      <c r="I351" s="240"/>
      <c r="J351" s="109">
        <f t="shared" si="146"/>
        <v>0</v>
      </c>
      <c r="K351" s="169"/>
      <c r="L351" s="162"/>
    </row>
    <row r="352" spans="1:13" x14ac:dyDescent="0.2">
      <c r="A352" s="5" t="s">
        <v>480</v>
      </c>
      <c r="B352" s="7" t="s">
        <v>481</v>
      </c>
      <c r="C352" s="29">
        <v>50000</v>
      </c>
      <c r="D352" s="11">
        <v>0</v>
      </c>
      <c r="E352" s="9">
        <v>0</v>
      </c>
      <c r="F352" s="11">
        <v>0</v>
      </c>
      <c r="G352" s="9">
        <f t="shared" si="108"/>
        <v>50000</v>
      </c>
      <c r="H352" s="11">
        <v>0</v>
      </c>
      <c r="I352" s="240">
        <f>I917</f>
        <v>0</v>
      </c>
      <c r="J352" s="109">
        <f t="shared" si="146"/>
        <v>50000</v>
      </c>
      <c r="K352" s="229">
        <f t="shared" ref="K352:L352" si="147">K917</f>
        <v>0</v>
      </c>
      <c r="L352" s="109">
        <f t="shared" si="147"/>
        <v>70000</v>
      </c>
    </row>
    <row r="353" spans="1:12" x14ac:dyDescent="0.2">
      <c r="A353" s="5" t="s">
        <v>482</v>
      </c>
      <c r="B353" s="7" t="s">
        <v>483</v>
      </c>
      <c r="C353" s="29">
        <v>14221600</v>
      </c>
      <c r="D353" s="11">
        <v>0</v>
      </c>
      <c r="E353" s="9">
        <v>0</v>
      </c>
      <c r="F353" s="11">
        <v>7154963.7400000002</v>
      </c>
      <c r="G353" s="9">
        <f t="shared" si="108"/>
        <v>7066636.2599999998</v>
      </c>
      <c r="H353" s="11">
        <v>50.31</v>
      </c>
      <c r="I353" s="240">
        <f>I1227</f>
        <v>320856.96000000002</v>
      </c>
      <c r="J353" s="109">
        <f t="shared" si="146"/>
        <v>14542456.960000001</v>
      </c>
      <c r="K353" s="229">
        <f t="shared" ref="K353" si="148">K1227</f>
        <v>0</v>
      </c>
      <c r="L353" s="109">
        <f>L1227</f>
        <v>12000000</v>
      </c>
    </row>
    <row r="354" spans="1:12" x14ac:dyDescent="0.2">
      <c r="A354" s="5" t="s">
        <v>484</v>
      </c>
      <c r="B354" s="7" t="s">
        <v>443</v>
      </c>
      <c r="C354" s="29">
        <v>401576</v>
      </c>
      <c r="D354" s="11">
        <v>0</v>
      </c>
      <c r="E354" s="9">
        <v>0</v>
      </c>
      <c r="F354" s="11">
        <v>0</v>
      </c>
      <c r="G354" s="9">
        <f t="shared" si="108"/>
        <v>401576</v>
      </c>
      <c r="H354" s="11">
        <v>0</v>
      </c>
      <c r="I354" s="240">
        <f>I1081</f>
        <v>0</v>
      </c>
      <c r="J354" s="109">
        <f t="shared" si="146"/>
        <v>401576</v>
      </c>
      <c r="K354" s="229">
        <f t="shared" ref="K354:L354" si="149">K1081</f>
        <v>0</v>
      </c>
      <c r="L354" s="109">
        <f t="shared" si="149"/>
        <v>0</v>
      </c>
    </row>
    <row r="355" spans="1:12" x14ac:dyDescent="0.2">
      <c r="A355" s="5"/>
      <c r="B355" s="7" t="s">
        <v>485</v>
      </c>
      <c r="C355" s="29"/>
      <c r="D355" s="11"/>
      <c r="E355" s="9"/>
      <c r="F355" s="11"/>
      <c r="G355" s="9"/>
      <c r="H355" s="11"/>
      <c r="I355" s="240">
        <f>I1228</f>
        <v>0</v>
      </c>
      <c r="J355" s="109">
        <f t="shared" si="146"/>
        <v>0</v>
      </c>
      <c r="K355" s="229">
        <f t="shared" ref="K355:L355" si="150">K1228</f>
        <v>10877600</v>
      </c>
      <c r="L355" s="109">
        <f t="shared" si="150"/>
        <v>0</v>
      </c>
    </row>
    <row r="356" spans="1:12" x14ac:dyDescent="0.2">
      <c r="A356" s="5" t="s">
        <v>486</v>
      </c>
      <c r="B356" s="7" t="s">
        <v>1008</v>
      </c>
      <c r="C356" s="29">
        <v>9792000</v>
      </c>
      <c r="D356" s="11">
        <v>1150695.8999999999</v>
      </c>
      <c r="E356" s="9">
        <v>0</v>
      </c>
      <c r="F356" s="11">
        <v>1604033.16</v>
      </c>
      <c r="G356" s="9">
        <f t="shared" si="108"/>
        <v>8187966.8399999999</v>
      </c>
      <c r="H356" s="11">
        <v>16.38</v>
      </c>
      <c r="I356" s="240">
        <f>I1229</f>
        <v>0</v>
      </c>
      <c r="J356" s="109">
        <f t="shared" si="146"/>
        <v>9792000</v>
      </c>
      <c r="K356" s="229">
        <f t="shared" ref="K356:L356" si="151">K1229</f>
        <v>0</v>
      </c>
      <c r="L356" s="109">
        <f t="shared" si="151"/>
        <v>14172000</v>
      </c>
    </row>
    <row r="357" spans="1:12" x14ac:dyDescent="0.2">
      <c r="A357" s="5" t="s">
        <v>488</v>
      </c>
      <c r="B357" s="7" t="s">
        <v>489</v>
      </c>
      <c r="C357" s="29">
        <v>4502550</v>
      </c>
      <c r="D357" s="11">
        <v>0</v>
      </c>
      <c r="E357" s="9">
        <v>0</v>
      </c>
      <c r="F357" s="11">
        <v>1567111.7</v>
      </c>
      <c r="G357" s="9">
        <f t="shared" si="108"/>
        <v>2935438.3</v>
      </c>
      <c r="H357" s="11">
        <v>34.799999999999997</v>
      </c>
      <c r="I357" s="240">
        <f>I1082</f>
        <v>0</v>
      </c>
      <c r="J357" s="109">
        <f t="shared" si="146"/>
        <v>4502550</v>
      </c>
      <c r="K357" s="229">
        <f t="shared" ref="K357:L357" si="152">K1082</f>
        <v>4664550</v>
      </c>
      <c r="L357" s="109">
        <f t="shared" si="152"/>
        <v>4907250</v>
      </c>
    </row>
    <row r="358" spans="1:12" x14ac:dyDescent="0.2">
      <c r="A358" s="5" t="s">
        <v>490</v>
      </c>
      <c r="B358" s="7" t="s">
        <v>491</v>
      </c>
      <c r="C358" s="29">
        <v>0</v>
      </c>
      <c r="D358" s="11">
        <v>0</v>
      </c>
      <c r="E358" s="9">
        <v>0</v>
      </c>
      <c r="F358" s="11">
        <v>0</v>
      </c>
      <c r="G358" s="9">
        <f t="shared" si="108"/>
        <v>0</v>
      </c>
      <c r="H358" s="11">
        <v>0</v>
      </c>
      <c r="I358" s="240">
        <f>I502</f>
        <v>258376</v>
      </c>
      <c r="J358" s="109">
        <f t="shared" si="146"/>
        <v>258376</v>
      </c>
      <c r="K358" s="229">
        <f t="shared" ref="K358:L358" si="153">K502</f>
        <v>0</v>
      </c>
      <c r="L358" s="109">
        <f t="shared" si="153"/>
        <v>0</v>
      </c>
    </row>
    <row r="359" spans="1:12" x14ac:dyDescent="0.2">
      <c r="A359" s="5" t="s">
        <v>492</v>
      </c>
      <c r="B359" s="7" t="s">
        <v>493</v>
      </c>
      <c r="C359" s="29">
        <v>0</v>
      </c>
      <c r="D359" s="11">
        <v>0</v>
      </c>
      <c r="E359" s="9">
        <v>0</v>
      </c>
      <c r="F359" s="11">
        <v>0</v>
      </c>
      <c r="G359" s="9">
        <f t="shared" si="108"/>
        <v>0</v>
      </c>
      <c r="H359" s="11">
        <v>0</v>
      </c>
      <c r="I359" s="240">
        <f>I1230</f>
        <v>0</v>
      </c>
      <c r="J359" s="109">
        <f t="shared" si="146"/>
        <v>0</v>
      </c>
      <c r="K359" s="229">
        <f t="shared" ref="K359:L359" si="154">K1230</f>
        <v>14000000</v>
      </c>
      <c r="L359" s="109">
        <f t="shared" si="154"/>
        <v>0</v>
      </c>
    </row>
    <row r="360" spans="1:12" ht="15" x14ac:dyDescent="0.25">
      <c r="A360" s="5"/>
      <c r="B360" s="7"/>
      <c r="C360" s="29"/>
      <c r="D360" s="11"/>
      <c r="E360" s="9"/>
      <c r="F360" s="11"/>
      <c r="G360" s="9"/>
      <c r="H360" s="11"/>
      <c r="I360" s="240"/>
      <c r="J360" s="168"/>
      <c r="K360" s="169"/>
      <c r="L360" s="162"/>
    </row>
    <row r="361" spans="1:12" s="179" customFormat="1" ht="15" x14ac:dyDescent="0.25">
      <c r="A361" s="176"/>
      <c r="B361" s="177" t="s">
        <v>494</v>
      </c>
      <c r="C361" s="236">
        <f>SUM(C349:C360)</f>
        <v>28967726</v>
      </c>
      <c r="D361" s="172">
        <f t="shared" ref="D361:L361" si="155">SUM(D349:D360)</f>
        <v>1150695.8999999999</v>
      </c>
      <c r="E361" s="236">
        <f t="shared" si="155"/>
        <v>0</v>
      </c>
      <c r="F361" s="172">
        <f t="shared" si="155"/>
        <v>10326108.6</v>
      </c>
      <c r="G361" s="236">
        <f t="shared" si="155"/>
        <v>18641617.399999999</v>
      </c>
      <c r="H361" s="168">
        <v>35.64</v>
      </c>
      <c r="I361" s="236">
        <f t="shared" si="155"/>
        <v>653079.96</v>
      </c>
      <c r="J361" s="168">
        <f t="shared" si="143"/>
        <v>29620805.960000001</v>
      </c>
      <c r="K361" s="236">
        <f t="shared" si="155"/>
        <v>29542150</v>
      </c>
      <c r="L361" s="172">
        <f t="shared" si="155"/>
        <v>31149250</v>
      </c>
    </row>
    <row r="362" spans="1:12" s="179" customFormat="1" ht="15" x14ac:dyDescent="0.25">
      <c r="A362" s="176"/>
      <c r="B362" s="177"/>
      <c r="C362" s="236"/>
      <c r="D362" s="168"/>
      <c r="E362" s="178"/>
      <c r="F362" s="168"/>
      <c r="G362" s="178"/>
      <c r="H362" s="168"/>
      <c r="I362" s="242"/>
      <c r="J362" s="168"/>
      <c r="K362" s="178"/>
      <c r="L362" s="168"/>
    </row>
    <row r="363" spans="1:12" s="179" customFormat="1" ht="15" x14ac:dyDescent="0.25">
      <c r="A363" s="176"/>
      <c r="B363" s="177" t="s">
        <v>496</v>
      </c>
      <c r="C363" s="236">
        <v>49276150</v>
      </c>
      <c r="D363" s="168">
        <v>1946455.9</v>
      </c>
      <c r="E363" s="178">
        <v>311070</v>
      </c>
      <c r="F363" s="168">
        <v>14709084.15</v>
      </c>
      <c r="G363" s="178">
        <f t="shared" si="108"/>
        <v>34255995.850000001</v>
      </c>
      <c r="H363" s="168">
        <v>29.85</v>
      </c>
      <c r="I363" s="242">
        <f>I346+I361</f>
        <v>2015297.37</v>
      </c>
      <c r="J363" s="168">
        <f>J346+J361</f>
        <v>51291447.370000005</v>
      </c>
      <c r="K363" s="178">
        <f>K346+K361</f>
        <v>53727150</v>
      </c>
      <c r="L363" s="168">
        <f>L346+L361</f>
        <v>45749250</v>
      </c>
    </row>
    <row r="364" spans="1:12" s="3" customFormat="1" ht="15" x14ac:dyDescent="0.25">
      <c r="A364" s="18"/>
      <c r="B364" s="19"/>
      <c r="C364" s="28"/>
      <c r="D364" s="21"/>
      <c r="E364" s="20"/>
      <c r="F364" s="21"/>
      <c r="G364" s="9"/>
      <c r="H364" s="21"/>
      <c r="I364" s="238"/>
      <c r="J364" s="168"/>
      <c r="K364" s="178"/>
      <c r="L364" s="168"/>
    </row>
    <row r="365" spans="1:12" ht="15" x14ac:dyDescent="0.25">
      <c r="A365" s="5"/>
      <c r="B365" s="7"/>
      <c r="C365" s="29"/>
      <c r="D365" s="11"/>
      <c r="E365" s="9"/>
      <c r="F365" s="11"/>
      <c r="G365" s="9"/>
      <c r="H365" s="11"/>
      <c r="I365" s="240"/>
      <c r="J365" s="168"/>
      <c r="K365" s="169"/>
      <c r="L365" s="162"/>
    </row>
    <row r="366" spans="1:12" s="3" customFormat="1" ht="15" x14ac:dyDescent="0.25">
      <c r="A366" s="18"/>
      <c r="B366" s="19" t="s">
        <v>503</v>
      </c>
      <c r="C366" s="28"/>
      <c r="D366" s="21"/>
      <c r="E366" s="20"/>
      <c r="F366" s="21"/>
      <c r="G366" s="9"/>
      <c r="H366" s="21"/>
      <c r="I366" s="238"/>
      <c r="J366" s="168"/>
      <c r="K366" s="178"/>
      <c r="L366" s="168"/>
    </row>
    <row r="367" spans="1:12" s="3" customFormat="1" ht="15" x14ac:dyDescent="0.25">
      <c r="A367" s="18"/>
      <c r="B367" s="19"/>
      <c r="C367" s="28"/>
      <c r="D367" s="21"/>
      <c r="E367" s="20"/>
      <c r="F367" s="21"/>
      <c r="G367" s="9"/>
      <c r="H367" s="21"/>
      <c r="I367" s="238"/>
      <c r="J367" s="168"/>
      <c r="K367" s="178"/>
      <c r="L367" s="168"/>
    </row>
    <row r="368" spans="1:12" s="3" customFormat="1" ht="15" x14ac:dyDescent="0.25">
      <c r="A368" s="18"/>
      <c r="B368" s="19" t="s">
        <v>9</v>
      </c>
      <c r="C368" s="28"/>
      <c r="D368" s="21"/>
      <c r="E368" s="20"/>
      <c r="F368" s="21"/>
      <c r="G368" s="9"/>
      <c r="H368" s="21"/>
      <c r="I368" s="238"/>
      <c r="J368" s="168"/>
      <c r="K368" s="178"/>
      <c r="L368" s="168"/>
    </row>
    <row r="369" spans="1:12" s="3" customFormat="1" ht="15" x14ac:dyDescent="0.25">
      <c r="A369" s="18"/>
      <c r="B369" s="19" t="s">
        <v>10</v>
      </c>
      <c r="C369" s="28"/>
      <c r="D369" s="21"/>
      <c r="E369" s="20"/>
      <c r="F369" s="21"/>
      <c r="G369" s="9"/>
      <c r="H369" s="21"/>
      <c r="I369" s="238"/>
      <c r="J369" s="168"/>
      <c r="K369" s="178"/>
      <c r="L369" s="168"/>
    </row>
    <row r="370" spans="1:12" s="3" customFormat="1" ht="15" x14ac:dyDescent="0.25">
      <c r="A370" s="18"/>
      <c r="B370" s="19" t="s">
        <v>11</v>
      </c>
      <c r="C370" s="28"/>
      <c r="D370" s="21"/>
      <c r="E370" s="20"/>
      <c r="F370" s="21"/>
      <c r="G370" s="9"/>
      <c r="H370" s="21"/>
      <c r="I370" s="238"/>
      <c r="J370" s="168"/>
      <c r="K370" s="178"/>
      <c r="L370" s="168"/>
    </row>
    <row r="371" spans="1:12" s="3" customFormat="1" ht="15" x14ac:dyDescent="0.25">
      <c r="A371" s="18"/>
      <c r="B371" s="19"/>
      <c r="C371" s="28"/>
      <c r="D371" s="21"/>
      <c r="E371" s="20"/>
      <c r="F371" s="21"/>
      <c r="G371" s="9"/>
      <c r="H371" s="21"/>
      <c r="I371" s="238"/>
      <c r="J371" s="168"/>
      <c r="K371" s="178"/>
      <c r="L371" s="168"/>
    </row>
    <row r="372" spans="1:12" x14ac:dyDescent="0.2">
      <c r="A372" s="5" t="s">
        <v>504</v>
      </c>
      <c r="B372" s="7" t="s">
        <v>13</v>
      </c>
      <c r="C372" s="29">
        <v>538109</v>
      </c>
      <c r="D372" s="11">
        <v>73823.25</v>
      </c>
      <c r="E372" s="9">
        <v>0</v>
      </c>
      <c r="F372" s="11">
        <f>264080.21+E372</f>
        <v>264080.21000000002</v>
      </c>
      <c r="G372" s="9">
        <f t="shared" si="108"/>
        <v>274028.78999999998</v>
      </c>
      <c r="H372" s="11">
        <v>49.07</v>
      </c>
      <c r="I372" s="240">
        <f>'Corporate Services'!I11</f>
        <v>0</v>
      </c>
      <c r="J372" s="109">
        <f>'Corporate Services'!J11</f>
        <v>538109</v>
      </c>
      <c r="K372" s="229">
        <f>'Corporate Services'!K11</f>
        <v>570395.54</v>
      </c>
      <c r="L372" s="109">
        <f>'Corporate Services'!L11</f>
        <v>604619.27240000002</v>
      </c>
    </row>
    <row r="373" spans="1:12" x14ac:dyDescent="0.2">
      <c r="A373" s="5" t="s">
        <v>505</v>
      </c>
      <c r="B373" s="7" t="s">
        <v>15</v>
      </c>
      <c r="C373" s="29">
        <v>25056</v>
      </c>
      <c r="D373" s="11">
        <v>1400</v>
      </c>
      <c r="E373" s="9">
        <v>0</v>
      </c>
      <c r="F373" s="11">
        <f>4900+E373</f>
        <v>4900</v>
      </c>
      <c r="G373" s="9">
        <f t="shared" si="108"/>
        <v>20156</v>
      </c>
      <c r="H373" s="11">
        <v>19.55</v>
      </c>
      <c r="I373" s="240">
        <f>'Corporate Services'!I12</f>
        <v>-11000</v>
      </c>
      <c r="J373" s="109">
        <f>'Corporate Services'!J12</f>
        <v>14056</v>
      </c>
      <c r="K373" s="229">
        <f>'Corporate Services'!K12</f>
        <v>14899.36</v>
      </c>
      <c r="L373" s="109">
        <f>'Corporate Services'!L12</f>
        <v>15793.321600000001</v>
      </c>
    </row>
    <row r="374" spans="1:12" x14ac:dyDescent="0.2">
      <c r="A374" s="5" t="s">
        <v>506</v>
      </c>
      <c r="B374" s="7" t="s">
        <v>17</v>
      </c>
      <c r="C374" s="29">
        <v>62770</v>
      </c>
      <c r="D374" s="11">
        <v>5230.8</v>
      </c>
      <c r="E374" s="9">
        <v>0</v>
      </c>
      <c r="F374" s="11">
        <v>31384.799999999999</v>
      </c>
      <c r="G374" s="9">
        <f t="shared" si="108"/>
        <v>31385.200000000001</v>
      </c>
      <c r="H374" s="11">
        <v>49.99</v>
      </c>
      <c r="I374" s="240">
        <f>'Corporate Services'!I13</f>
        <v>0</v>
      </c>
      <c r="J374" s="109">
        <f>'Corporate Services'!J13</f>
        <v>62770</v>
      </c>
      <c r="K374" s="229">
        <f>'Corporate Services'!K13</f>
        <v>66536.2</v>
      </c>
      <c r="L374" s="109">
        <f>'Corporate Services'!L13</f>
        <v>70528.372000000003</v>
      </c>
    </row>
    <row r="375" spans="1:12" x14ac:dyDescent="0.2">
      <c r="A375" s="5" t="s">
        <v>507</v>
      </c>
      <c r="B375" s="7" t="s">
        <v>508</v>
      </c>
      <c r="C375" s="29">
        <v>115000</v>
      </c>
      <c r="D375" s="11">
        <v>32248.63</v>
      </c>
      <c r="E375" s="9">
        <v>9771.41</v>
      </c>
      <c r="F375" s="11">
        <v>113668.51</v>
      </c>
      <c r="G375" s="9">
        <f t="shared" si="108"/>
        <v>-8439.9199999999983</v>
      </c>
      <c r="H375" s="11">
        <v>98.84</v>
      </c>
      <c r="I375" s="240">
        <f>'Corporate Services'!I14</f>
        <v>95000</v>
      </c>
      <c r="J375" s="109">
        <f>'Corporate Services'!J14</f>
        <v>210000</v>
      </c>
      <c r="K375" s="229">
        <f>'Corporate Services'!K14</f>
        <v>222600</v>
      </c>
      <c r="L375" s="109">
        <f>'Corporate Services'!L14</f>
        <v>235956</v>
      </c>
    </row>
    <row r="376" spans="1:12" x14ac:dyDescent="0.2">
      <c r="A376" s="5" t="s">
        <v>509</v>
      </c>
      <c r="B376" s="7" t="s">
        <v>21</v>
      </c>
      <c r="C376" s="29">
        <v>30000</v>
      </c>
      <c r="D376" s="11">
        <v>7612.38</v>
      </c>
      <c r="E376" s="9">
        <v>0</v>
      </c>
      <c r="F376" s="11">
        <v>31421.74</v>
      </c>
      <c r="G376" s="9">
        <f t="shared" si="108"/>
        <v>-1421.7400000000016</v>
      </c>
      <c r="H376" s="11">
        <v>104.73</v>
      </c>
      <c r="I376" s="240">
        <f>'Corporate Services'!I15</f>
        <v>35000</v>
      </c>
      <c r="J376" s="162">
        <f t="shared" ref="J376:J384" si="156">C376+I376</f>
        <v>65000</v>
      </c>
      <c r="K376" s="169">
        <f>J376*6/100+J376</f>
        <v>68900</v>
      </c>
      <c r="L376" s="162">
        <f>K376*6/100+K376</f>
        <v>73034</v>
      </c>
    </row>
    <row r="377" spans="1:12" x14ac:dyDescent="0.2">
      <c r="A377" s="5" t="s">
        <v>510</v>
      </c>
      <c r="B377" s="7" t="s">
        <v>24</v>
      </c>
      <c r="C377" s="29">
        <v>150816</v>
      </c>
      <c r="D377" s="11">
        <v>9122.99</v>
      </c>
      <c r="E377" s="9">
        <v>0</v>
      </c>
      <c r="F377" s="11">
        <v>54737.94</v>
      </c>
      <c r="G377" s="9">
        <f t="shared" si="108"/>
        <v>96078.06</v>
      </c>
      <c r="H377" s="11">
        <v>36.29</v>
      </c>
      <c r="I377" s="240">
        <f>'Corporate Services'!I16</f>
        <v>0</v>
      </c>
      <c r="J377" s="109">
        <f>'Corporate Services'!J16</f>
        <v>150816</v>
      </c>
      <c r="K377" s="229">
        <f>'Corporate Services'!K16</f>
        <v>159864.95999999999</v>
      </c>
      <c r="L377" s="109">
        <f>'Corporate Services'!L16</f>
        <v>169456.85759999999</v>
      </c>
    </row>
    <row r="378" spans="1:12" x14ac:dyDescent="0.2">
      <c r="A378" s="5" t="s">
        <v>511</v>
      </c>
      <c r="B378" s="7" t="s">
        <v>26</v>
      </c>
      <c r="C378" s="29">
        <v>50000</v>
      </c>
      <c r="D378" s="11">
        <v>0</v>
      </c>
      <c r="E378" s="9">
        <v>0</v>
      </c>
      <c r="F378" s="11">
        <v>0</v>
      </c>
      <c r="G378" s="9">
        <f t="shared" si="108"/>
        <v>50000</v>
      </c>
      <c r="H378" s="11">
        <v>0</v>
      </c>
      <c r="I378" s="240">
        <f>'Corporate Services'!I17</f>
        <v>-50000</v>
      </c>
      <c r="J378" s="109">
        <f>'Corporate Services'!J17</f>
        <v>0</v>
      </c>
      <c r="K378" s="229">
        <f>'Corporate Services'!K17</f>
        <v>0</v>
      </c>
      <c r="L378" s="109">
        <f>'Corporate Services'!L17</f>
        <v>0</v>
      </c>
    </row>
    <row r="379" spans="1:12" x14ac:dyDescent="0.2">
      <c r="A379" s="5" t="s">
        <v>512</v>
      </c>
      <c r="B379" s="7" t="s">
        <v>28</v>
      </c>
      <c r="C379" s="29">
        <v>32729</v>
      </c>
      <c r="D379" s="11">
        <v>0</v>
      </c>
      <c r="E379" s="9">
        <v>0</v>
      </c>
      <c r="F379" s="11">
        <v>0</v>
      </c>
      <c r="G379" s="9">
        <f t="shared" si="108"/>
        <v>32729</v>
      </c>
      <c r="H379" s="11">
        <v>0</v>
      </c>
      <c r="I379" s="240">
        <f>'Corporate Services'!I18</f>
        <v>-32729</v>
      </c>
      <c r="J379" s="109">
        <f>'Corporate Services'!J18</f>
        <v>0</v>
      </c>
      <c r="K379" s="229">
        <f>'Corporate Services'!K18</f>
        <v>0</v>
      </c>
      <c r="L379" s="109">
        <f>'Corporate Services'!L18</f>
        <v>0</v>
      </c>
    </row>
    <row r="380" spans="1:12" x14ac:dyDescent="0.2">
      <c r="A380" s="5" t="s">
        <v>513</v>
      </c>
      <c r="B380" s="7" t="s">
        <v>30</v>
      </c>
      <c r="C380" s="29">
        <v>100000</v>
      </c>
      <c r="D380" s="11">
        <v>0</v>
      </c>
      <c r="E380" s="9">
        <v>0</v>
      </c>
      <c r="F380" s="11">
        <v>0</v>
      </c>
      <c r="G380" s="9">
        <f t="shared" si="108"/>
        <v>100000</v>
      </c>
      <c r="H380" s="11">
        <v>0</v>
      </c>
      <c r="I380" s="240">
        <f>'Corporate Services'!I19</f>
        <v>-50000</v>
      </c>
      <c r="J380" s="109">
        <f>'Corporate Services'!J19</f>
        <v>50000</v>
      </c>
      <c r="K380" s="229">
        <f>'Corporate Services'!K19</f>
        <v>53000</v>
      </c>
      <c r="L380" s="109">
        <f>'Corporate Services'!L19</f>
        <v>56180</v>
      </c>
    </row>
    <row r="381" spans="1:12" x14ac:dyDescent="0.2">
      <c r="A381" s="5" t="s">
        <v>514</v>
      </c>
      <c r="B381" s="7" t="s">
        <v>32</v>
      </c>
      <c r="C381" s="29">
        <v>6457314</v>
      </c>
      <c r="D381" s="11">
        <v>526765.06999999995</v>
      </c>
      <c r="E381" s="9">
        <v>0</v>
      </c>
      <c r="F381" s="11">
        <v>3178671.91</v>
      </c>
      <c r="G381" s="9">
        <f t="shared" si="108"/>
        <v>3278642.09</v>
      </c>
      <c r="H381" s="11">
        <v>49.22</v>
      </c>
      <c r="I381" s="240">
        <f>'Corporate Services'!I20</f>
        <v>0</v>
      </c>
      <c r="J381" s="162">
        <f t="shared" si="156"/>
        <v>6457314</v>
      </c>
      <c r="K381" s="169">
        <f>J381*6/100+J381</f>
        <v>6844752.8399999999</v>
      </c>
      <c r="L381" s="162">
        <f t="shared" ref="L381:L384" si="157">K381*6/100+K381</f>
        <v>7255438.0104</v>
      </c>
    </row>
    <row r="382" spans="1:12" x14ac:dyDescent="0.2">
      <c r="A382" s="5" t="s">
        <v>516</v>
      </c>
      <c r="B382" s="7" t="s">
        <v>36</v>
      </c>
      <c r="C382" s="29">
        <v>739066</v>
      </c>
      <c r="D382" s="11">
        <v>53320.6</v>
      </c>
      <c r="E382" s="9">
        <v>0</v>
      </c>
      <c r="F382" s="11">
        <v>318516.84000000003</v>
      </c>
      <c r="G382" s="9">
        <f t="shared" si="108"/>
        <v>420549.16</v>
      </c>
      <c r="H382" s="11">
        <v>43.09</v>
      </c>
      <c r="I382" s="240">
        <f>'Corporate Services'!I22</f>
        <v>0</v>
      </c>
      <c r="J382" s="162">
        <f t="shared" si="156"/>
        <v>739066</v>
      </c>
      <c r="K382" s="169">
        <f>J382*6/100+J382</f>
        <v>783409.96</v>
      </c>
      <c r="L382" s="162">
        <f t="shared" si="157"/>
        <v>830414.55759999994</v>
      </c>
    </row>
    <row r="383" spans="1:12" s="258" customFormat="1" x14ac:dyDescent="0.2">
      <c r="A383" s="253" t="s">
        <v>517</v>
      </c>
      <c r="B383" s="254" t="s">
        <v>44</v>
      </c>
      <c r="C383" s="255">
        <v>219698</v>
      </c>
      <c r="D383" s="256">
        <v>0</v>
      </c>
      <c r="E383" s="257">
        <v>0</v>
      </c>
      <c r="F383" s="256">
        <v>0</v>
      </c>
      <c r="G383" s="257">
        <f t="shared" si="108"/>
        <v>219698</v>
      </c>
      <c r="H383" s="256">
        <v>0</v>
      </c>
      <c r="I383" s="32">
        <f>'Corporate Services'!I23</f>
        <v>-150000</v>
      </c>
      <c r="J383" s="227">
        <f t="shared" si="156"/>
        <v>69698</v>
      </c>
      <c r="K383" s="225">
        <f>J383*6/100+J383</f>
        <v>73879.88</v>
      </c>
      <c r="L383" s="227">
        <f t="shared" si="157"/>
        <v>78312.6728</v>
      </c>
    </row>
    <row r="384" spans="1:12" s="258" customFormat="1" x14ac:dyDescent="0.2">
      <c r="A384" s="253" t="s">
        <v>519</v>
      </c>
      <c r="B384" s="254" t="s">
        <v>48</v>
      </c>
      <c r="C384" s="255">
        <v>250000</v>
      </c>
      <c r="D384" s="256">
        <v>0</v>
      </c>
      <c r="E384" s="257">
        <v>0</v>
      </c>
      <c r="F384" s="256">
        <v>0</v>
      </c>
      <c r="G384" s="257">
        <f t="shared" ref="G384:G445" si="158">C384-E384-F384</f>
        <v>250000</v>
      </c>
      <c r="H384" s="256">
        <v>0</v>
      </c>
      <c r="I384" s="32">
        <f>'Corporate Services'!I25</f>
        <v>-250000</v>
      </c>
      <c r="J384" s="227">
        <f t="shared" si="156"/>
        <v>0</v>
      </c>
      <c r="K384" s="225">
        <f>J384*6/100+J384</f>
        <v>0</v>
      </c>
      <c r="L384" s="227">
        <f t="shared" si="157"/>
        <v>0</v>
      </c>
    </row>
    <row r="385" spans="1:12" x14ac:dyDescent="0.2">
      <c r="A385" s="5"/>
      <c r="B385" s="7"/>
      <c r="C385" s="29"/>
      <c r="D385" s="11"/>
      <c r="E385" s="9"/>
      <c r="F385" s="11"/>
      <c r="G385" s="9"/>
      <c r="H385" s="11"/>
      <c r="I385" s="240"/>
      <c r="J385" s="162"/>
      <c r="K385" s="169"/>
      <c r="L385" s="162"/>
    </row>
    <row r="386" spans="1:12" s="3" customFormat="1" ht="15" x14ac:dyDescent="0.25">
      <c r="A386" s="18"/>
      <c r="B386" s="19" t="s">
        <v>49</v>
      </c>
      <c r="C386" s="28">
        <f>SUM(C372:C385)</f>
        <v>8770558</v>
      </c>
      <c r="D386" s="36">
        <f>SUM(D372:D385)</f>
        <v>709523.72</v>
      </c>
      <c r="E386" s="28">
        <f>SUM(E372:E385)</f>
        <v>9771.41</v>
      </c>
      <c r="F386" s="36">
        <f>SUM(F372:F385)</f>
        <v>3997381.95</v>
      </c>
      <c r="G386" s="20">
        <f t="shared" si="158"/>
        <v>4763404.6399999997</v>
      </c>
      <c r="H386" s="21">
        <v>45.57</v>
      </c>
      <c r="I386" s="243">
        <f>SUM(I372:I385)</f>
        <v>-413729</v>
      </c>
      <c r="J386" s="172">
        <f>SUM(J372:J385)</f>
        <v>8356829</v>
      </c>
      <c r="K386" s="236">
        <f>SUM(K372:K385)</f>
        <v>8858238.7400000002</v>
      </c>
      <c r="L386" s="172">
        <f>SUM(L372:L385)</f>
        <v>9389733.0644000024</v>
      </c>
    </row>
    <row r="387" spans="1:12" s="3" customFormat="1" ht="15" x14ac:dyDescent="0.25">
      <c r="A387" s="18"/>
      <c r="B387" s="19"/>
      <c r="C387" s="28"/>
      <c r="D387" s="21"/>
      <c r="E387" s="20"/>
      <c r="F387" s="21"/>
      <c r="G387" s="9"/>
      <c r="H387" s="21"/>
      <c r="I387" s="238"/>
      <c r="J387" s="168"/>
      <c r="K387" s="178"/>
      <c r="L387" s="168"/>
    </row>
    <row r="388" spans="1:12" s="3" customFormat="1" ht="15" x14ac:dyDescent="0.25">
      <c r="A388" s="18"/>
      <c r="B388" s="19" t="s">
        <v>50</v>
      </c>
      <c r="C388" s="28"/>
      <c r="D388" s="21"/>
      <c r="E388" s="20"/>
      <c r="F388" s="21"/>
      <c r="G388" s="9"/>
      <c r="H388" s="21"/>
      <c r="I388" s="238"/>
      <c r="J388" s="168"/>
      <c r="K388" s="178"/>
      <c r="L388" s="168"/>
    </row>
    <row r="389" spans="1:12" s="3" customFormat="1" ht="15" x14ac:dyDescent="0.25">
      <c r="A389" s="18"/>
      <c r="B389" s="19"/>
      <c r="C389" s="28"/>
      <c r="D389" s="21"/>
      <c r="E389" s="20"/>
      <c r="F389" s="21"/>
      <c r="G389" s="9"/>
      <c r="H389" s="21"/>
      <c r="I389" s="238"/>
      <c r="J389" s="168"/>
      <c r="K389" s="178"/>
      <c r="L389" s="168"/>
    </row>
    <row r="390" spans="1:12" x14ac:dyDescent="0.2">
      <c r="A390" s="5" t="s">
        <v>521</v>
      </c>
      <c r="B390" s="7" t="s">
        <v>53</v>
      </c>
      <c r="C390" s="29">
        <v>2743</v>
      </c>
      <c r="D390" s="11">
        <v>239.25</v>
      </c>
      <c r="E390" s="9">
        <v>0</v>
      </c>
      <c r="F390" s="11">
        <f>1457.25</f>
        <v>1457.25</v>
      </c>
      <c r="G390" s="9">
        <f t="shared" si="158"/>
        <v>1285.75</v>
      </c>
      <c r="H390" s="11">
        <f>F390/C390*100</f>
        <v>53.126139263580022</v>
      </c>
      <c r="I390" s="240">
        <f>'Corporate Services'!I32</f>
        <v>0</v>
      </c>
      <c r="J390" s="109">
        <f>'Corporate Services'!J32</f>
        <v>2743</v>
      </c>
      <c r="K390" s="229">
        <f>'Corporate Services'!K32</f>
        <v>2907.58</v>
      </c>
      <c r="L390" s="109">
        <f>'Corporate Services'!L32</f>
        <v>3082.0347999999999</v>
      </c>
    </row>
    <row r="391" spans="1:12" x14ac:dyDescent="0.2">
      <c r="A391" s="5" t="s">
        <v>522</v>
      </c>
      <c r="B391" s="7" t="s">
        <v>55</v>
      </c>
      <c r="C391" s="29">
        <v>47893</v>
      </c>
      <c r="D391" s="11">
        <v>4293.45</v>
      </c>
      <c r="E391" s="9">
        <v>0</v>
      </c>
      <c r="F391" s="11">
        <v>26405.21</v>
      </c>
      <c r="G391" s="9">
        <f t="shared" si="158"/>
        <v>21487.79</v>
      </c>
      <c r="H391" s="11">
        <v>55.13</v>
      </c>
      <c r="I391" s="240">
        <f>'Corporate Services'!I33</f>
        <v>0</v>
      </c>
      <c r="J391" s="109">
        <f>'Corporate Services'!J33</f>
        <v>47893</v>
      </c>
      <c r="K391" s="229">
        <f>'Corporate Services'!K33</f>
        <v>50766.58</v>
      </c>
      <c r="L391" s="109">
        <f>'Corporate Services'!L33</f>
        <v>53812.574800000002</v>
      </c>
    </row>
    <row r="392" spans="1:12" x14ac:dyDescent="0.2">
      <c r="A392" s="5" t="s">
        <v>523</v>
      </c>
      <c r="B392" s="7" t="s">
        <v>57</v>
      </c>
      <c r="C392" s="29">
        <v>671909</v>
      </c>
      <c r="D392" s="11">
        <v>38938.199999999997</v>
      </c>
      <c r="E392" s="9">
        <v>0</v>
      </c>
      <c r="F392" s="11">
        <v>249704.68</v>
      </c>
      <c r="G392" s="9">
        <f t="shared" si="158"/>
        <v>422204.32</v>
      </c>
      <c r="H392" s="11">
        <v>37.159999999999997</v>
      </c>
      <c r="I392" s="240">
        <f>'Corporate Services'!I34</f>
        <v>0</v>
      </c>
      <c r="J392" s="109">
        <f>'Corporate Services'!J34</f>
        <v>671909</v>
      </c>
      <c r="K392" s="229">
        <f>'Corporate Services'!K34</f>
        <v>712223.54</v>
      </c>
      <c r="L392" s="109">
        <f>'Corporate Services'!L34</f>
        <v>754956.95240000007</v>
      </c>
    </row>
    <row r="393" spans="1:12" x14ac:dyDescent="0.2">
      <c r="A393" s="5" t="s">
        <v>524</v>
      </c>
      <c r="B393" s="7" t="s">
        <v>59</v>
      </c>
      <c r="C393" s="29">
        <v>1382769</v>
      </c>
      <c r="D393" s="11">
        <v>109804.05</v>
      </c>
      <c r="E393" s="9">
        <v>0</v>
      </c>
      <c r="F393" s="11">
        <v>662951.5</v>
      </c>
      <c r="G393" s="9">
        <f t="shared" si="158"/>
        <v>719817.5</v>
      </c>
      <c r="H393" s="11">
        <v>47.94</v>
      </c>
      <c r="I393" s="240">
        <f>'Corporate Services'!I35</f>
        <v>0</v>
      </c>
      <c r="J393" s="109">
        <f>'Corporate Services'!J35</f>
        <v>1382769</v>
      </c>
      <c r="K393" s="229">
        <f>'Corporate Services'!K35</f>
        <v>1465735.14</v>
      </c>
      <c r="L393" s="109">
        <f>'Corporate Services'!L35</f>
        <v>1553679.2483999999</v>
      </c>
    </row>
    <row r="394" spans="1:12" x14ac:dyDescent="0.2">
      <c r="A394" s="5" t="s">
        <v>526</v>
      </c>
      <c r="B394" s="7" t="s">
        <v>62</v>
      </c>
      <c r="C394" s="29">
        <v>129146</v>
      </c>
      <c r="D394" s="11">
        <v>6897.43</v>
      </c>
      <c r="E394" s="9">
        <v>0</v>
      </c>
      <c r="F394" s="11">
        <v>39149.120000000003</v>
      </c>
      <c r="G394" s="9">
        <f t="shared" si="158"/>
        <v>89996.88</v>
      </c>
      <c r="H394" s="11">
        <v>30.31</v>
      </c>
      <c r="I394" s="240">
        <f>'Corporate Services'!I37</f>
        <v>-23246.28</v>
      </c>
      <c r="J394" s="109">
        <f>'Corporate Services'!J37</f>
        <v>105899.72</v>
      </c>
      <c r="K394" s="229">
        <f>'Corporate Services'!K37</f>
        <v>112253.7032</v>
      </c>
      <c r="L394" s="109">
        <f>'Corporate Services'!L37</f>
        <v>118988.925392</v>
      </c>
    </row>
    <row r="395" spans="1:12" x14ac:dyDescent="0.2">
      <c r="A395" s="5"/>
      <c r="B395" s="7"/>
      <c r="C395" s="29"/>
      <c r="D395" s="11"/>
      <c r="E395" s="9"/>
      <c r="F395" s="11"/>
      <c r="G395" s="9"/>
      <c r="H395" s="11"/>
      <c r="I395" s="240"/>
      <c r="J395" s="162"/>
      <c r="K395" s="169"/>
      <c r="L395" s="162"/>
    </row>
    <row r="396" spans="1:12" s="3" customFormat="1" ht="15" x14ac:dyDescent="0.25">
      <c r="A396" s="18"/>
      <c r="B396" s="19" t="s">
        <v>63</v>
      </c>
      <c r="C396" s="28">
        <f>SUM(C390:C395)</f>
        <v>2234460</v>
      </c>
      <c r="D396" s="36">
        <f>SUM(D390:D395)</f>
        <v>160172.38</v>
      </c>
      <c r="E396" s="28">
        <f>SUM(E390:E395)</f>
        <v>0</v>
      </c>
      <c r="F396" s="36">
        <f>SUM(F390:F395)</f>
        <v>979667.76</v>
      </c>
      <c r="G396" s="20">
        <f t="shared" si="158"/>
        <v>1254792.24</v>
      </c>
      <c r="H396" s="21">
        <v>43.84</v>
      </c>
      <c r="I396" s="243">
        <f>SUM(I390:I395)</f>
        <v>-23246.28</v>
      </c>
      <c r="J396" s="172">
        <f>SUM(J390:J395)</f>
        <v>2211213.7200000002</v>
      </c>
      <c r="K396" s="236">
        <f>SUM(K390:K395)</f>
        <v>2343886.5431999997</v>
      </c>
      <c r="L396" s="172">
        <f>SUM(L390:L395)</f>
        <v>2484519.7357919998</v>
      </c>
    </row>
    <row r="397" spans="1:12" s="3" customFormat="1" ht="15" x14ac:dyDescent="0.25">
      <c r="A397" s="18"/>
      <c r="B397" s="19"/>
      <c r="C397" s="28"/>
      <c r="D397" s="21"/>
      <c r="E397" s="20"/>
      <c r="F397" s="21"/>
      <c r="G397" s="20">
        <f t="shared" si="158"/>
        <v>0</v>
      </c>
      <c r="H397" s="21"/>
      <c r="I397" s="238"/>
      <c r="J397" s="168"/>
      <c r="K397" s="178"/>
      <c r="L397" s="168"/>
    </row>
    <row r="398" spans="1:12" s="3" customFormat="1" ht="15" x14ac:dyDescent="0.25">
      <c r="A398" s="18"/>
      <c r="B398" s="19" t="s">
        <v>73</v>
      </c>
      <c r="C398" s="28">
        <f>C386+C396</f>
        <v>11005018</v>
      </c>
      <c r="D398" s="36">
        <f>D386+D396</f>
        <v>869696.1</v>
      </c>
      <c r="E398" s="28">
        <f>E386+E396</f>
        <v>9771.41</v>
      </c>
      <c r="F398" s="36">
        <f>F386+F396</f>
        <v>4977049.71</v>
      </c>
      <c r="G398" s="20">
        <f t="shared" si="158"/>
        <v>6018196.8799999999</v>
      </c>
      <c r="H398" s="21">
        <v>45.22</v>
      </c>
      <c r="I398" s="243">
        <f>I386+I396</f>
        <v>-436975.28</v>
      </c>
      <c r="J398" s="172">
        <f>J386+J396</f>
        <v>10568042.720000001</v>
      </c>
      <c r="K398" s="236">
        <f>K386+K396</f>
        <v>11202125.283199999</v>
      </c>
      <c r="L398" s="172">
        <f>L386+L396</f>
        <v>11874252.800192002</v>
      </c>
    </row>
    <row r="399" spans="1:12" s="3" customFormat="1" ht="15" x14ac:dyDescent="0.25">
      <c r="A399" s="18"/>
      <c r="B399" s="19"/>
      <c r="C399" s="28"/>
      <c r="D399" s="21"/>
      <c r="E399" s="20"/>
      <c r="F399" s="21"/>
      <c r="G399" s="9"/>
      <c r="H399" s="21"/>
      <c r="I399" s="238"/>
      <c r="J399" s="168"/>
      <c r="K399" s="178"/>
      <c r="L399" s="168"/>
    </row>
    <row r="400" spans="1:12" s="3" customFormat="1" ht="15" x14ac:dyDescent="0.25">
      <c r="A400" s="18"/>
      <c r="B400" s="19" t="s">
        <v>74</v>
      </c>
      <c r="C400" s="28"/>
      <c r="D400" s="21"/>
      <c r="E400" s="20"/>
      <c r="F400" s="21"/>
      <c r="G400" s="9"/>
      <c r="H400" s="21"/>
      <c r="I400" s="238"/>
      <c r="J400" s="168"/>
      <c r="K400" s="178"/>
      <c r="L400" s="168"/>
    </row>
    <row r="401" spans="1:12" s="3" customFormat="1" ht="15" x14ac:dyDescent="0.25">
      <c r="A401" s="18"/>
      <c r="B401" s="19"/>
      <c r="C401" s="28"/>
      <c r="D401" s="21"/>
      <c r="E401" s="20"/>
      <c r="F401" s="21"/>
      <c r="G401" s="9"/>
      <c r="H401" s="21"/>
      <c r="I401" s="238"/>
      <c r="J401" s="168"/>
      <c r="K401" s="178"/>
      <c r="L401" s="168"/>
    </row>
    <row r="402" spans="1:12" s="3" customFormat="1" ht="15" x14ac:dyDescent="0.25">
      <c r="A402" s="18"/>
      <c r="B402" s="19" t="s">
        <v>75</v>
      </c>
      <c r="C402" s="28"/>
      <c r="D402" s="21"/>
      <c r="E402" s="20"/>
      <c r="F402" s="21"/>
      <c r="G402" s="9"/>
      <c r="H402" s="21"/>
      <c r="I402" s="238"/>
      <c r="J402" s="168"/>
      <c r="K402" s="178"/>
      <c r="L402" s="168"/>
    </row>
    <row r="403" spans="1:12" s="3" customFormat="1" ht="15" x14ac:dyDescent="0.25">
      <c r="A403" s="18"/>
      <c r="B403" s="19"/>
      <c r="C403" s="28"/>
      <c r="D403" s="21"/>
      <c r="E403" s="20"/>
      <c r="F403" s="21"/>
      <c r="G403" s="9"/>
      <c r="H403" s="21"/>
      <c r="I403" s="238"/>
      <c r="J403" s="168"/>
      <c r="K403" s="178"/>
      <c r="L403" s="168"/>
    </row>
    <row r="404" spans="1:12" x14ac:dyDescent="0.2">
      <c r="A404" s="5" t="s">
        <v>527</v>
      </c>
      <c r="B404" s="7" t="s">
        <v>77</v>
      </c>
      <c r="C404" s="29">
        <v>83840</v>
      </c>
      <c r="D404" s="11">
        <v>0</v>
      </c>
      <c r="E404" s="9">
        <v>4029.74</v>
      </c>
      <c r="F404" s="11">
        <f>33953.65</f>
        <v>33953.65</v>
      </c>
      <c r="G404" s="9">
        <f t="shared" si="158"/>
        <v>45856.609999999993</v>
      </c>
      <c r="H404" s="11">
        <f>F404/C404*100</f>
        <v>40.498151240458022</v>
      </c>
      <c r="I404" s="240">
        <f>'Corporate Services'!I47</f>
        <v>65000</v>
      </c>
      <c r="J404" s="109">
        <f>'Corporate Services'!J47</f>
        <v>148840</v>
      </c>
      <c r="K404" s="229">
        <f>'Corporate Services'!K47</f>
        <v>157770.4</v>
      </c>
      <c r="L404" s="109">
        <f>'Corporate Services'!L47</f>
        <v>167236.62399999998</v>
      </c>
    </row>
    <row r="405" spans="1:12" x14ac:dyDescent="0.2">
      <c r="A405" s="5" t="s">
        <v>528</v>
      </c>
      <c r="B405" s="7" t="s">
        <v>529</v>
      </c>
      <c r="C405" s="29">
        <v>764000</v>
      </c>
      <c r="D405" s="11">
        <v>0</v>
      </c>
      <c r="E405" s="9">
        <v>0</v>
      </c>
      <c r="F405" s="11">
        <v>754844.73</v>
      </c>
      <c r="G405" s="9">
        <f t="shared" si="158"/>
        <v>9155.2700000000186</v>
      </c>
      <c r="H405" s="11">
        <f t="shared" ref="H405:H436" si="159">F405/C405*100</f>
        <v>98.801666230366493</v>
      </c>
      <c r="I405" s="240">
        <f>'Corporate Services'!I48</f>
        <v>-9155.27</v>
      </c>
      <c r="J405" s="109">
        <f>'Corporate Services'!J48</f>
        <v>754844.73</v>
      </c>
      <c r="K405" s="229">
        <f>'Corporate Services'!K48</f>
        <v>800135.41379999998</v>
      </c>
      <c r="L405" s="109">
        <f>'Corporate Services'!L48</f>
        <v>848143.53862799995</v>
      </c>
    </row>
    <row r="406" spans="1:12" s="258" customFormat="1" x14ac:dyDescent="0.2">
      <c r="A406" s="253" t="s">
        <v>531</v>
      </c>
      <c r="B406" s="254" t="s">
        <v>498</v>
      </c>
      <c r="C406" s="255">
        <v>100000</v>
      </c>
      <c r="D406" s="256">
        <v>0</v>
      </c>
      <c r="E406" s="257">
        <v>0</v>
      </c>
      <c r="F406" s="256">
        <v>25128</v>
      </c>
      <c r="G406" s="257">
        <f t="shared" si="158"/>
        <v>74872</v>
      </c>
      <c r="H406" s="256">
        <f t="shared" si="159"/>
        <v>25.128</v>
      </c>
      <c r="I406" s="32">
        <f>'Corporate Services'!I49</f>
        <v>-40000</v>
      </c>
      <c r="J406" s="227">
        <f>'Corporate Services'!J49</f>
        <v>60000</v>
      </c>
      <c r="K406" s="225">
        <f>'Corporate Services'!K49</f>
        <v>63600</v>
      </c>
      <c r="L406" s="227">
        <f>'Corporate Services'!L49</f>
        <v>67416</v>
      </c>
    </row>
    <row r="407" spans="1:12" x14ac:dyDescent="0.2">
      <c r="A407" s="5" t="s">
        <v>532</v>
      </c>
      <c r="B407" s="7" t="s">
        <v>99</v>
      </c>
      <c r="C407" s="29">
        <v>20000</v>
      </c>
      <c r="D407" s="11">
        <v>0</v>
      </c>
      <c r="E407" s="9">
        <v>0</v>
      </c>
      <c r="F407" s="11">
        <v>0</v>
      </c>
      <c r="G407" s="9">
        <f t="shared" si="158"/>
        <v>20000</v>
      </c>
      <c r="H407" s="11">
        <f t="shared" si="159"/>
        <v>0</v>
      </c>
      <c r="I407" s="240">
        <f>'Corporate Services'!I50</f>
        <v>-10000</v>
      </c>
      <c r="J407" s="109">
        <f>'Corporate Services'!J50</f>
        <v>10000</v>
      </c>
      <c r="K407" s="229">
        <f>'Corporate Services'!K50</f>
        <v>10600</v>
      </c>
      <c r="L407" s="109">
        <f>'Corporate Services'!L50</f>
        <v>11236</v>
      </c>
    </row>
    <row r="408" spans="1:12" x14ac:dyDescent="0.2">
      <c r="A408" s="5" t="s">
        <v>533</v>
      </c>
      <c r="B408" s="7" t="s">
        <v>60</v>
      </c>
      <c r="C408" s="29">
        <v>268320</v>
      </c>
      <c r="D408" s="11">
        <v>0</v>
      </c>
      <c r="E408" s="9">
        <v>0</v>
      </c>
      <c r="F408" s="11">
        <v>268320</v>
      </c>
      <c r="G408" s="9">
        <f t="shared" si="158"/>
        <v>0</v>
      </c>
      <c r="H408" s="11">
        <f t="shared" si="159"/>
        <v>100</v>
      </c>
      <c r="I408" s="240">
        <f>'Corporate Services'!I51</f>
        <v>250000</v>
      </c>
      <c r="J408" s="109">
        <f>'Corporate Services'!J51</f>
        <v>518320</v>
      </c>
      <c r="K408" s="229">
        <f>'Corporate Services'!K51</f>
        <v>549419.19999999995</v>
      </c>
      <c r="L408" s="109">
        <f>'Corporate Services'!L51</f>
        <v>582384.35199999996</v>
      </c>
    </row>
    <row r="409" spans="1:12" x14ac:dyDescent="0.2">
      <c r="A409" s="5" t="s">
        <v>534</v>
      </c>
      <c r="B409" s="7" t="s">
        <v>115</v>
      </c>
      <c r="C409" s="29">
        <v>272594</v>
      </c>
      <c r="D409" s="11">
        <v>43.45</v>
      </c>
      <c r="E409" s="9">
        <v>0</v>
      </c>
      <c r="F409" s="11">
        <v>144389.45000000001</v>
      </c>
      <c r="G409" s="9">
        <f t="shared" si="158"/>
        <v>128204.54999999999</v>
      </c>
      <c r="H409" s="11">
        <f t="shared" si="159"/>
        <v>52.96868236278128</v>
      </c>
      <c r="I409" s="240">
        <f>'Corporate Services'!I52</f>
        <v>30795</v>
      </c>
      <c r="J409" s="109">
        <f>'Corporate Services'!J52</f>
        <v>303389</v>
      </c>
      <c r="K409" s="229">
        <f>'Corporate Services'!K52</f>
        <v>321592.34000000003</v>
      </c>
      <c r="L409" s="109">
        <f>'Corporate Services'!L52</f>
        <v>340887.88040000002</v>
      </c>
    </row>
    <row r="410" spans="1:12" x14ac:dyDescent="0.2">
      <c r="A410" s="5" t="s">
        <v>535</v>
      </c>
      <c r="B410" s="7" t="s">
        <v>124</v>
      </c>
      <c r="C410" s="29">
        <v>80000</v>
      </c>
      <c r="D410" s="11">
        <v>1540.17</v>
      </c>
      <c r="E410" s="9">
        <v>0</v>
      </c>
      <c r="F410" s="11">
        <v>12900.52</v>
      </c>
      <c r="G410" s="9">
        <f t="shared" si="158"/>
        <v>67099.48</v>
      </c>
      <c r="H410" s="11">
        <f t="shared" si="159"/>
        <v>16.12565</v>
      </c>
      <c r="I410" s="240">
        <f>'Corporate Services'!I53</f>
        <v>0</v>
      </c>
      <c r="J410" s="109">
        <f>'Corporate Services'!J53</f>
        <v>80000</v>
      </c>
      <c r="K410" s="229">
        <f>'Corporate Services'!K53</f>
        <v>84800</v>
      </c>
      <c r="L410" s="109">
        <f>'Corporate Services'!L53</f>
        <v>89888</v>
      </c>
    </row>
    <row r="411" spans="1:12" x14ac:dyDescent="0.2">
      <c r="A411" s="5" t="s">
        <v>536</v>
      </c>
      <c r="B411" s="7" t="s">
        <v>137</v>
      </c>
      <c r="C411" s="29">
        <v>260000</v>
      </c>
      <c r="D411" s="11">
        <v>12364.41</v>
      </c>
      <c r="E411" s="9">
        <v>0</v>
      </c>
      <c r="F411" s="11">
        <v>135757.74</v>
      </c>
      <c r="G411" s="9">
        <f t="shared" si="158"/>
        <v>124242.26000000001</v>
      </c>
      <c r="H411" s="11">
        <f t="shared" si="159"/>
        <v>52.214515384615382</v>
      </c>
      <c r="I411" s="240">
        <f>'Corporate Services'!I54</f>
        <v>14000</v>
      </c>
      <c r="J411" s="109">
        <f>'Corporate Services'!J54</f>
        <v>274000</v>
      </c>
      <c r="K411" s="229">
        <f>'Corporate Services'!K54</f>
        <v>290440</v>
      </c>
      <c r="L411" s="109">
        <f>'Corporate Services'!L54</f>
        <v>307866.40000000002</v>
      </c>
    </row>
    <row r="412" spans="1:12" x14ac:dyDescent="0.2">
      <c r="A412" s="5" t="s">
        <v>537</v>
      </c>
      <c r="B412" s="7" t="s">
        <v>144</v>
      </c>
      <c r="C412" s="29">
        <v>60000</v>
      </c>
      <c r="D412" s="11">
        <v>0</v>
      </c>
      <c r="E412" s="9">
        <v>0</v>
      </c>
      <c r="F412" s="11">
        <v>46179.9</v>
      </c>
      <c r="G412" s="9">
        <f t="shared" si="158"/>
        <v>13820.099999999999</v>
      </c>
      <c r="H412" s="11">
        <f t="shared" si="159"/>
        <v>76.966500000000011</v>
      </c>
      <c r="I412" s="240">
        <f>'Corporate Services'!I55</f>
        <v>52045.27</v>
      </c>
      <c r="J412" s="109">
        <f>'Corporate Services'!J55</f>
        <v>112045.26999999999</v>
      </c>
      <c r="K412" s="229">
        <f>'Corporate Services'!K55</f>
        <v>118767.98619999998</v>
      </c>
      <c r="L412" s="109">
        <f>'Corporate Services'!L55</f>
        <v>125894.06537199998</v>
      </c>
    </row>
    <row r="413" spans="1:12" x14ac:dyDescent="0.2">
      <c r="A413" s="5" t="s">
        <v>538</v>
      </c>
      <c r="B413" s="7" t="s">
        <v>159</v>
      </c>
      <c r="C413" s="29">
        <v>80000</v>
      </c>
      <c r="D413" s="11">
        <v>0</v>
      </c>
      <c r="E413" s="9">
        <v>0</v>
      </c>
      <c r="F413" s="11">
        <v>19120</v>
      </c>
      <c r="G413" s="9">
        <f t="shared" si="158"/>
        <v>60880</v>
      </c>
      <c r="H413" s="11">
        <f t="shared" si="159"/>
        <v>23.9</v>
      </c>
      <c r="I413" s="240">
        <f>'Corporate Services'!I56</f>
        <v>0</v>
      </c>
      <c r="J413" s="109">
        <f>'Corporate Services'!J56</f>
        <v>80000</v>
      </c>
      <c r="K413" s="229">
        <f>'Corporate Services'!K56</f>
        <v>84800</v>
      </c>
      <c r="L413" s="109">
        <f>'Corporate Services'!L56</f>
        <v>89888</v>
      </c>
    </row>
    <row r="414" spans="1:12" x14ac:dyDescent="0.2">
      <c r="A414" s="5" t="s">
        <v>539</v>
      </c>
      <c r="B414" s="7" t="s">
        <v>168</v>
      </c>
      <c r="C414" s="29">
        <v>103081</v>
      </c>
      <c r="D414" s="11">
        <v>0</v>
      </c>
      <c r="E414" s="9">
        <v>0</v>
      </c>
      <c r="F414" s="11">
        <v>18348.5</v>
      </c>
      <c r="G414" s="9">
        <f t="shared" si="158"/>
        <v>84732.5</v>
      </c>
      <c r="H414" s="11">
        <f t="shared" si="159"/>
        <v>17.800079549092462</v>
      </c>
      <c r="I414" s="240">
        <f>'Corporate Services'!I57</f>
        <v>0</v>
      </c>
      <c r="J414" s="109">
        <f>'Corporate Services'!J57</f>
        <v>103081</v>
      </c>
      <c r="K414" s="229">
        <f>'Corporate Services'!K57</f>
        <v>109265.86</v>
      </c>
      <c r="L414" s="109">
        <f>'Corporate Services'!L57</f>
        <v>115821.8116</v>
      </c>
    </row>
    <row r="415" spans="1:12" x14ac:dyDescent="0.2">
      <c r="A415" s="5" t="s">
        <v>540</v>
      </c>
      <c r="B415" s="7" t="s">
        <v>173</v>
      </c>
      <c r="C415" s="29">
        <v>57500</v>
      </c>
      <c r="D415" s="11">
        <v>12877.57</v>
      </c>
      <c r="E415" s="9">
        <v>9689</v>
      </c>
      <c r="F415" s="11">
        <v>43426.98</v>
      </c>
      <c r="G415" s="9">
        <f t="shared" si="158"/>
        <v>4384.0199999999968</v>
      </c>
      <c r="H415" s="11">
        <f t="shared" si="159"/>
        <v>75.525182608695658</v>
      </c>
      <c r="I415" s="240">
        <f>'Corporate Services'!I58</f>
        <v>30000</v>
      </c>
      <c r="J415" s="109">
        <f>'Corporate Services'!J58</f>
        <v>87500</v>
      </c>
      <c r="K415" s="229">
        <f>'Corporate Services'!K58</f>
        <v>92750</v>
      </c>
      <c r="L415" s="109">
        <f>'Corporate Services'!L58</f>
        <v>98315</v>
      </c>
    </row>
    <row r="416" spans="1:12" x14ac:dyDescent="0.2">
      <c r="A416" s="5" t="s">
        <v>541</v>
      </c>
      <c r="B416" s="7" t="s">
        <v>177</v>
      </c>
      <c r="C416" s="29">
        <v>500000</v>
      </c>
      <c r="D416" s="11">
        <v>0</v>
      </c>
      <c r="E416" s="9">
        <v>0</v>
      </c>
      <c r="F416" s="11">
        <v>188221.99</v>
      </c>
      <c r="G416" s="9">
        <f t="shared" si="158"/>
        <v>311778.01</v>
      </c>
      <c r="H416" s="11">
        <f t="shared" si="159"/>
        <v>37.644397999999995</v>
      </c>
      <c r="I416" s="240">
        <f>'Corporate Services'!I59</f>
        <v>100000</v>
      </c>
      <c r="J416" s="109">
        <f>'Corporate Services'!J59</f>
        <v>600000</v>
      </c>
      <c r="K416" s="229">
        <f>'Corporate Services'!K59</f>
        <v>636000</v>
      </c>
      <c r="L416" s="109">
        <f>'Corporate Services'!L59</f>
        <v>674160</v>
      </c>
    </row>
    <row r="417" spans="1:12" s="258" customFormat="1" x14ac:dyDescent="0.2">
      <c r="A417" s="253" t="s">
        <v>542</v>
      </c>
      <c r="B417" s="254" t="s">
        <v>187</v>
      </c>
      <c r="C417" s="255">
        <v>779</v>
      </c>
      <c r="D417" s="256">
        <v>0</v>
      </c>
      <c r="E417" s="257">
        <v>0</v>
      </c>
      <c r="F417" s="256">
        <v>0</v>
      </c>
      <c r="G417" s="257">
        <f t="shared" si="158"/>
        <v>779</v>
      </c>
      <c r="H417" s="256">
        <f t="shared" si="159"/>
        <v>0</v>
      </c>
      <c r="I417" s="32">
        <f>'Corporate Services'!I60</f>
        <v>5221</v>
      </c>
      <c r="J417" s="227">
        <f>'Corporate Services'!J60</f>
        <v>6000</v>
      </c>
      <c r="K417" s="225">
        <f>'Corporate Services'!K60</f>
        <v>6360</v>
      </c>
      <c r="L417" s="227">
        <f>'Corporate Services'!L60</f>
        <v>6741.6</v>
      </c>
    </row>
    <row r="418" spans="1:12" x14ac:dyDescent="0.2">
      <c r="A418" s="5" t="s">
        <v>543</v>
      </c>
      <c r="B418" s="7" t="s">
        <v>199</v>
      </c>
      <c r="C418" s="29">
        <v>277990</v>
      </c>
      <c r="D418" s="11">
        <v>0</v>
      </c>
      <c r="E418" s="9">
        <v>0</v>
      </c>
      <c r="F418" s="11">
        <v>164341.4</v>
      </c>
      <c r="G418" s="9">
        <f t="shared" si="158"/>
        <v>113648.6</v>
      </c>
      <c r="H418" s="11">
        <f t="shared" si="159"/>
        <v>59.11773804813123</v>
      </c>
      <c r="I418" s="240">
        <f>'Corporate Services'!I61</f>
        <v>50000</v>
      </c>
      <c r="J418" s="109">
        <f>'Corporate Services'!J61</f>
        <v>327990</v>
      </c>
      <c r="K418" s="229">
        <f>'Corporate Services'!K61</f>
        <v>347669.4</v>
      </c>
      <c r="L418" s="109">
        <f>'Corporate Services'!L61</f>
        <v>368529.56400000001</v>
      </c>
    </row>
    <row r="419" spans="1:12" x14ac:dyDescent="0.2">
      <c r="A419" s="5" t="s">
        <v>544</v>
      </c>
      <c r="B419" s="7" t="s">
        <v>205</v>
      </c>
      <c r="C419" s="29">
        <v>63480</v>
      </c>
      <c r="D419" s="11">
        <v>0</v>
      </c>
      <c r="E419" s="9">
        <v>0</v>
      </c>
      <c r="F419" s="11">
        <v>0</v>
      </c>
      <c r="G419" s="9">
        <f t="shared" si="158"/>
        <v>63480</v>
      </c>
      <c r="H419" s="11">
        <f t="shared" si="159"/>
        <v>0</v>
      </c>
      <c r="I419" s="240">
        <f>'Corporate Services'!I62</f>
        <v>-10000</v>
      </c>
      <c r="J419" s="109">
        <f>'Corporate Services'!J62</f>
        <v>53480</v>
      </c>
      <c r="K419" s="229">
        <f>'Corporate Services'!K62</f>
        <v>56688.800000000003</v>
      </c>
      <c r="L419" s="109">
        <f>'Corporate Services'!L62</f>
        <v>60090.128000000004</v>
      </c>
    </row>
    <row r="420" spans="1:12" x14ac:dyDescent="0.2">
      <c r="A420" s="5" t="s">
        <v>545</v>
      </c>
      <c r="B420" s="7" t="s">
        <v>217</v>
      </c>
      <c r="C420" s="29">
        <v>2000</v>
      </c>
      <c r="D420" s="11">
        <v>0</v>
      </c>
      <c r="E420" s="9">
        <v>0</v>
      </c>
      <c r="F420" s="11">
        <v>0</v>
      </c>
      <c r="G420" s="9">
        <f t="shared" si="158"/>
        <v>2000</v>
      </c>
      <c r="H420" s="11">
        <f t="shared" si="159"/>
        <v>0</v>
      </c>
      <c r="I420" s="240">
        <f>'Corporate Services'!I63</f>
        <v>-1000</v>
      </c>
      <c r="J420" s="109">
        <f>'Corporate Services'!J63</f>
        <v>1000</v>
      </c>
      <c r="K420" s="229">
        <f>'Corporate Services'!K63</f>
        <v>1060</v>
      </c>
      <c r="L420" s="109">
        <f>'Corporate Services'!L63</f>
        <v>1123.5999999999999</v>
      </c>
    </row>
    <row r="421" spans="1:12" s="258" customFormat="1" x14ac:dyDescent="0.2">
      <c r="A421" s="253" t="s">
        <v>1041</v>
      </c>
      <c r="B421" s="254" t="s">
        <v>1042</v>
      </c>
      <c r="C421" s="255">
        <v>0</v>
      </c>
      <c r="D421" s="256">
        <v>0</v>
      </c>
      <c r="E421" s="257">
        <v>0</v>
      </c>
      <c r="F421" s="256">
        <v>0</v>
      </c>
      <c r="G421" s="257">
        <f t="shared" si="158"/>
        <v>0</v>
      </c>
      <c r="H421" s="256"/>
      <c r="I421" s="32">
        <f>'Corporate Services'!I64</f>
        <v>5600</v>
      </c>
      <c r="J421" s="227">
        <f>'Corporate Services'!J64</f>
        <v>5600</v>
      </c>
      <c r="K421" s="225">
        <f>'Corporate Services'!K64</f>
        <v>0</v>
      </c>
      <c r="L421" s="227">
        <f>'Corporate Services'!L64</f>
        <v>0</v>
      </c>
    </row>
    <row r="422" spans="1:12" x14ac:dyDescent="0.2">
      <c r="A422" s="5" t="s">
        <v>546</v>
      </c>
      <c r="B422" s="7" t="s">
        <v>547</v>
      </c>
      <c r="C422" s="29">
        <v>182505</v>
      </c>
      <c r="D422" s="11">
        <v>4364.25</v>
      </c>
      <c r="E422" s="9">
        <v>0</v>
      </c>
      <c r="F422" s="11">
        <v>36681.800000000003</v>
      </c>
      <c r="G422" s="9">
        <f t="shared" si="158"/>
        <v>145823.20000000001</v>
      </c>
      <c r="H422" s="11">
        <f t="shared" si="159"/>
        <v>20.099065779019753</v>
      </c>
      <c r="I422" s="240">
        <f>'Corporate Services'!I65</f>
        <v>-40000</v>
      </c>
      <c r="J422" s="109">
        <f>'Corporate Services'!J65</f>
        <v>142505</v>
      </c>
      <c r="K422" s="229">
        <f>'Corporate Services'!K65</f>
        <v>151055.29999999999</v>
      </c>
      <c r="L422" s="109">
        <f>'Corporate Services'!L65</f>
        <v>160118.61799999999</v>
      </c>
    </row>
    <row r="423" spans="1:12" x14ac:dyDescent="0.2">
      <c r="A423" s="5" t="s">
        <v>548</v>
      </c>
      <c r="B423" s="7" t="s">
        <v>549</v>
      </c>
      <c r="C423" s="29">
        <v>588226</v>
      </c>
      <c r="D423" s="11">
        <v>45606.37</v>
      </c>
      <c r="E423" s="9">
        <v>0</v>
      </c>
      <c r="F423" s="11">
        <v>227369.74</v>
      </c>
      <c r="G423" s="9">
        <f t="shared" si="158"/>
        <v>360856.26</v>
      </c>
      <c r="H423" s="11">
        <f t="shared" si="159"/>
        <v>38.65346652477109</v>
      </c>
      <c r="I423" s="240">
        <f>'Corporate Services'!I66</f>
        <v>-40000</v>
      </c>
      <c r="J423" s="109">
        <f>'Corporate Services'!J66</f>
        <v>548226</v>
      </c>
      <c r="K423" s="229">
        <f>'Corporate Services'!K66</f>
        <v>581119.56000000006</v>
      </c>
      <c r="L423" s="109">
        <f>'Corporate Services'!L66</f>
        <v>615986.73360000004</v>
      </c>
    </row>
    <row r="424" spans="1:12" x14ac:dyDescent="0.2">
      <c r="A424" s="5" t="s">
        <v>550</v>
      </c>
      <c r="B424" s="7" t="s">
        <v>245</v>
      </c>
      <c r="C424" s="29">
        <v>106858</v>
      </c>
      <c r="D424" s="11">
        <v>3419.14</v>
      </c>
      <c r="E424" s="9">
        <v>0</v>
      </c>
      <c r="F424" s="11">
        <v>14359.16</v>
      </c>
      <c r="G424" s="9">
        <f t="shared" si="158"/>
        <v>92498.84</v>
      </c>
      <c r="H424" s="11">
        <f t="shared" si="159"/>
        <v>13.437608789234313</v>
      </c>
      <c r="I424" s="240">
        <f>'Corporate Services'!I67</f>
        <v>-50000</v>
      </c>
      <c r="J424" s="109">
        <f>'Corporate Services'!J67</f>
        <v>56858</v>
      </c>
      <c r="K424" s="229">
        <f>'Corporate Services'!K67</f>
        <v>60269.48</v>
      </c>
      <c r="L424" s="109">
        <f>'Corporate Services'!L67</f>
        <v>63885.648800000003</v>
      </c>
    </row>
    <row r="425" spans="1:12" x14ac:dyDescent="0.2">
      <c r="A425" s="5" t="s">
        <v>551</v>
      </c>
      <c r="B425" s="7" t="s">
        <v>247</v>
      </c>
      <c r="C425" s="29">
        <v>585000</v>
      </c>
      <c r="D425" s="11">
        <v>0</v>
      </c>
      <c r="E425" s="9">
        <v>0</v>
      </c>
      <c r="F425" s="11">
        <v>112027.64</v>
      </c>
      <c r="G425" s="9">
        <f t="shared" si="158"/>
        <v>472972.36</v>
      </c>
      <c r="H425" s="11">
        <f t="shared" si="159"/>
        <v>19.150023931623934</v>
      </c>
      <c r="I425" s="240">
        <f>'Corporate Services'!I68</f>
        <v>-50000</v>
      </c>
      <c r="J425" s="109">
        <f>'Corporate Services'!J68</f>
        <v>535000</v>
      </c>
      <c r="K425" s="229">
        <f>'Corporate Services'!K68</f>
        <v>567100</v>
      </c>
      <c r="L425" s="109">
        <f>'Corporate Services'!L68</f>
        <v>601126</v>
      </c>
    </row>
    <row r="426" spans="1:12" x14ac:dyDescent="0.2">
      <c r="A426" s="5" t="s">
        <v>552</v>
      </c>
      <c r="B426" s="7" t="s">
        <v>250</v>
      </c>
      <c r="C426" s="29">
        <v>360000</v>
      </c>
      <c r="D426" s="11">
        <v>40910.480000000003</v>
      </c>
      <c r="E426" s="9">
        <v>0</v>
      </c>
      <c r="F426" s="11">
        <v>54712.73</v>
      </c>
      <c r="G426" s="9">
        <f t="shared" si="158"/>
        <v>305287.27</v>
      </c>
      <c r="H426" s="11">
        <f t="shared" si="159"/>
        <v>15.197980555555556</v>
      </c>
      <c r="I426" s="240">
        <f>'Corporate Services'!I69</f>
        <v>-45000</v>
      </c>
      <c r="J426" s="109">
        <f>'Corporate Services'!J69</f>
        <v>315000</v>
      </c>
      <c r="K426" s="229">
        <f>'Corporate Services'!K69</f>
        <v>333900</v>
      </c>
      <c r="L426" s="109">
        <f>'Corporate Services'!L69</f>
        <v>353934</v>
      </c>
    </row>
    <row r="427" spans="1:12" x14ac:dyDescent="0.2">
      <c r="A427" s="5" t="s">
        <v>553</v>
      </c>
      <c r="B427" s="7" t="s">
        <v>500</v>
      </c>
      <c r="C427" s="29">
        <v>112500</v>
      </c>
      <c r="D427" s="11">
        <v>6973.42</v>
      </c>
      <c r="E427" s="9">
        <v>0</v>
      </c>
      <c r="F427" s="11">
        <v>35195.1</v>
      </c>
      <c r="G427" s="9">
        <f t="shared" si="158"/>
        <v>77304.899999999994</v>
      </c>
      <c r="H427" s="11">
        <f t="shared" si="159"/>
        <v>31.284533333333332</v>
      </c>
      <c r="I427" s="240">
        <f>'Corporate Services'!I70</f>
        <v>-10000</v>
      </c>
      <c r="J427" s="109">
        <f>'Corporate Services'!J70</f>
        <v>102500</v>
      </c>
      <c r="K427" s="229">
        <f>'Corporate Services'!K70</f>
        <v>108650</v>
      </c>
      <c r="L427" s="109">
        <f>'Corporate Services'!L70</f>
        <v>115169</v>
      </c>
    </row>
    <row r="428" spans="1:12" x14ac:dyDescent="0.2">
      <c r="A428" s="5" t="s">
        <v>554</v>
      </c>
      <c r="B428" s="7" t="s">
        <v>254</v>
      </c>
      <c r="C428" s="29">
        <v>500000</v>
      </c>
      <c r="D428" s="11">
        <v>9800</v>
      </c>
      <c r="E428" s="9">
        <v>59209.58</v>
      </c>
      <c r="F428" s="11">
        <v>74393.740000000005</v>
      </c>
      <c r="G428" s="9">
        <f t="shared" si="158"/>
        <v>366396.68</v>
      </c>
      <c r="H428" s="11">
        <f t="shared" si="159"/>
        <v>14.878748</v>
      </c>
      <c r="I428" s="240">
        <f>'Corporate Services'!I71</f>
        <v>0</v>
      </c>
      <c r="J428" s="109">
        <f>'Corporate Services'!J71</f>
        <v>500000</v>
      </c>
      <c r="K428" s="229">
        <f>'Corporate Services'!K71</f>
        <v>530000</v>
      </c>
      <c r="L428" s="109">
        <f>'Corporate Services'!L71</f>
        <v>561800</v>
      </c>
    </row>
    <row r="429" spans="1:12" x14ac:dyDescent="0.2">
      <c r="A429" s="5" t="s">
        <v>555</v>
      </c>
      <c r="B429" s="7" t="s">
        <v>262</v>
      </c>
      <c r="C429" s="29">
        <v>15000</v>
      </c>
      <c r="D429" s="11">
        <v>0</v>
      </c>
      <c r="E429" s="9">
        <v>0</v>
      </c>
      <c r="F429" s="11">
        <v>14660</v>
      </c>
      <c r="G429" s="9">
        <f t="shared" si="158"/>
        <v>340</v>
      </c>
      <c r="H429" s="11">
        <f t="shared" si="159"/>
        <v>97.733333333333334</v>
      </c>
      <c r="I429" s="240">
        <f>'Corporate Services'!I72</f>
        <v>20000</v>
      </c>
      <c r="J429" s="109">
        <f>'Corporate Services'!J72</f>
        <v>35000</v>
      </c>
      <c r="K429" s="229">
        <f>'Corporate Services'!K72</f>
        <v>37100</v>
      </c>
      <c r="L429" s="109">
        <f>'Corporate Services'!L72</f>
        <v>39326</v>
      </c>
    </row>
    <row r="430" spans="1:12" x14ac:dyDescent="0.2">
      <c r="A430" s="5" t="s">
        <v>556</v>
      </c>
      <c r="B430" s="7" t="s">
        <v>268</v>
      </c>
      <c r="C430" s="29">
        <v>1280000</v>
      </c>
      <c r="D430" s="11">
        <v>136000</v>
      </c>
      <c r="E430" s="9">
        <v>0</v>
      </c>
      <c r="F430" s="11">
        <v>271000</v>
      </c>
      <c r="G430" s="9">
        <f t="shared" si="158"/>
        <v>1009000</v>
      </c>
      <c r="H430" s="11">
        <f t="shared" si="159"/>
        <v>21.171875</v>
      </c>
      <c r="I430" s="240">
        <f>'Corporate Services'!I73</f>
        <v>400000</v>
      </c>
      <c r="J430" s="109">
        <f>'Corporate Services'!J73</f>
        <v>1680000</v>
      </c>
      <c r="K430" s="229">
        <f>'Corporate Services'!K73</f>
        <v>1680000</v>
      </c>
      <c r="L430" s="109">
        <f>'Corporate Services'!L73</f>
        <v>1680000</v>
      </c>
    </row>
    <row r="431" spans="1:12" x14ac:dyDescent="0.2">
      <c r="A431" s="5" t="s">
        <v>557</v>
      </c>
      <c r="B431" s="7" t="s">
        <v>501</v>
      </c>
      <c r="C431" s="29">
        <v>400000</v>
      </c>
      <c r="D431" s="11">
        <v>0</v>
      </c>
      <c r="E431" s="9">
        <v>0</v>
      </c>
      <c r="F431" s="11">
        <v>544000</v>
      </c>
      <c r="G431" s="9">
        <f t="shared" si="158"/>
        <v>-144000</v>
      </c>
      <c r="H431" s="11">
        <f t="shared" si="159"/>
        <v>136</v>
      </c>
      <c r="I431" s="240">
        <v>-400000</v>
      </c>
      <c r="J431" s="162">
        <f t="shared" ref="J431:J436" si="160">C431+I431</f>
        <v>0</v>
      </c>
      <c r="K431" s="169">
        <v>0</v>
      </c>
      <c r="L431" s="162">
        <v>0</v>
      </c>
    </row>
    <row r="432" spans="1:12" x14ac:dyDescent="0.2">
      <c r="A432" s="5" t="s">
        <v>558</v>
      </c>
      <c r="B432" s="7" t="s">
        <v>1026</v>
      </c>
      <c r="C432" s="29">
        <v>900000</v>
      </c>
      <c r="D432" s="11">
        <v>275685.2</v>
      </c>
      <c r="E432" s="9">
        <v>0</v>
      </c>
      <c r="F432" s="11">
        <v>785969.09</v>
      </c>
      <c r="G432" s="9">
        <f t="shared" si="158"/>
        <v>114030.91000000003</v>
      </c>
      <c r="H432" s="11">
        <f t="shared" si="159"/>
        <v>87.329898888888891</v>
      </c>
      <c r="I432" s="240">
        <f>'Corporate Services'!I75</f>
        <v>-510000</v>
      </c>
      <c r="J432" s="109">
        <f>'Corporate Services'!J75</f>
        <v>390000</v>
      </c>
      <c r="K432" s="229">
        <f>'Corporate Services'!K75</f>
        <v>413400</v>
      </c>
      <c r="L432" s="109">
        <f>'Corporate Services'!L75</f>
        <v>438204</v>
      </c>
    </row>
    <row r="433" spans="1:12" s="258" customFormat="1" x14ac:dyDescent="0.2">
      <c r="A433" s="253"/>
      <c r="B433" s="254" t="s">
        <v>1027</v>
      </c>
      <c r="C433" s="255"/>
      <c r="D433" s="256"/>
      <c r="E433" s="257"/>
      <c r="F433" s="256"/>
      <c r="G433" s="257"/>
      <c r="H433" s="256"/>
      <c r="I433" s="32">
        <f>'Corporate Services'!I76</f>
        <v>400000</v>
      </c>
      <c r="J433" s="227">
        <f>'Corporate Services'!J76</f>
        <v>400000</v>
      </c>
      <c r="K433" s="225">
        <f>'Corporate Services'!K76</f>
        <v>424000</v>
      </c>
      <c r="L433" s="227">
        <f>'Corporate Services'!L76</f>
        <v>449440</v>
      </c>
    </row>
    <row r="434" spans="1:12" s="258" customFormat="1" x14ac:dyDescent="0.2">
      <c r="A434" s="253" t="s">
        <v>559</v>
      </c>
      <c r="B434" s="254" t="s">
        <v>273</v>
      </c>
      <c r="C434" s="255">
        <v>400000</v>
      </c>
      <c r="D434" s="256">
        <v>243230.77</v>
      </c>
      <c r="E434" s="257">
        <v>0</v>
      </c>
      <c r="F434" s="256">
        <v>243230.77</v>
      </c>
      <c r="G434" s="257">
        <f t="shared" si="158"/>
        <v>156769.23000000001</v>
      </c>
      <c r="H434" s="256">
        <f t="shared" si="159"/>
        <v>60.807692500000002</v>
      </c>
      <c r="I434" s="32">
        <f>'Corporate Services'!I77</f>
        <v>-156769</v>
      </c>
      <c r="J434" s="227">
        <f t="shared" si="160"/>
        <v>243231</v>
      </c>
      <c r="K434" s="225">
        <f t="shared" ref="K434:L436" si="161">J434*6/100+J434</f>
        <v>257824.86</v>
      </c>
      <c r="L434" s="227">
        <f t="shared" si="161"/>
        <v>273294.35159999999</v>
      </c>
    </row>
    <row r="435" spans="1:12" s="258" customFormat="1" x14ac:dyDescent="0.2">
      <c r="A435" s="253" t="s">
        <v>560</v>
      </c>
      <c r="B435" s="254" t="s">
        <v>282</v>
      </c>
      <c r="C435" s="255">
        <v>350000</v>
      </c>
      <c r="D435" s="256">
        <v>0</v>
      </c>
      <c r="E435" s="257">
        <v>0</v>
      </c>
      <c r="F435" s="256">
        <v>238164.39</v>
      </c>
      <c r="G435" s="257">
        <f t="shared" si="158"/>
        <v>111835.60999999999</v>
      </c>
      <c r="H435" s="256">
        <f t="shared" si="159"/>
        <v>68.046968571428579</v>
      </c>
      <c r="I435" s="32">
        <f>'Corporate Services'!I78</f>
        <v>-3000</v>
      </c>
      <c r="J435" s="227">
        <f t="shared" si="160"/>
        <v>347000</v>
      </c>
      <c r="K435" s="225">
        <f t="shared" si="161"/>
        <v>367820</v>
      </c>
      <c r="L435" s="227">
        <f t="shared" si="161"/>
        <v>389889.2</v>
      </c>
    </row>
    <row r="436" spans="1:12" s="258" customFormat="1" x14ac:dyDescent="0.2">
      <c r="A436" s="253" t="s">
        <v>561</v>
      </c>
      <c r="B436" s="254" t="s">
        <v>284</v>
      </c>
      <c r="C436" s="255">
        <v>70000</v>
      </c>
      <c r="D436" s="256">
        <v>0</v>
      </c>
      <c r="E436" s="257">
        <v>0</v>
      </c>
      <c r="F436" s="256">
        <v>0</v>
      </c>
      <c r="G436" s="257">
        <f t="shared" si="158"/>
        <v>70000</v>
      </c>
      <c r="H436" s="256">
        <f t="shared" si="159"/>
        <v>0</v>
      </c>
      <c r="I436" s="32">
        <f>'Corporate Services'!I79</f>
        <v>3000</v>
      </c>
      <c r="J436" s="227">
        <f t="shared" si="160"/>
        <v>73000</v>
      </c>
      <c r="K436" s="225">
        <f t="shared" si="161"/>
        <v>77380</v>
      </c>
      <c r="L436" s="227">
        <f t="shared" si="161"/>
        <v>82022.8</v>
      </c>
    </row>
    <row r="437" spans="1:12" x14ac:dyDescent="0.2">
      <c r="A437" s="5"/>
      <c r="B437" s="7"/>
      <c r="C437" s="29"/>
      <c r="D437" s="11"/>
      <c r="E437" s="9"/>
      <c r="F437" s="11"/>
      <c r="G437" s="9">
        <f t="shared" si="158"/>
        <v>0</v>
      </c>
      <c r="H437" s="11"/>
      <c r="I437" s="240"/>
      <c r="J437" s="162"/>
      <c r="K437" s="169"/>
      <c r="L437" s="162"/>
    </row>
    <row r="438" spans="1:12" s="3" customFormat="1" ht="15" x14ac:dyDescent="0.25">
      <c r="A438" s="18"/>
      <c r="B438" s="19" t="s">
        <v>287</v>
      </c>
      <c r="C438" s="28">
        <f>SUM(C404:C437)</f>
        <v>8843673</v>
      </c>
      <c r="D438" s="36">
        <f>SUM(D404:D437)</f>
        <v>792815.23</v>
      </c>
      <c r="E438" s="28">
        <f>SUM(E404:E437)</f>
        <v>72928.320000000007</v>
      </c>
      <c r="F438" s="36">
        <f>SUM(F404:F437)</f>
        <v>4506697.0199999996</v>
      </c>
      <c r="G438" s="28">
        <f>SUM(G404:G437)</f>
        <v>4264047.66</v>
      </c>
      <c r="H438" s="21">
        <v>50.95</v>
      </c>
      <c r="I438" s="243">
        <f>SUM(I404:I437)</f>
        <v>50737</v>
      </c>
      <c r="J438" s="172">
        <f>SUM(J404:J437)</f>
        <v>8894410</v>
      </c>
      <c r="K438" s="236">
        <f>SUM(K404:K437)</f>
        <v>9321338.5999999996</v>
      </c>
      <c r="L438" s="172">
        <f>SUM(L404:L437)</f>
        <v>9779818.9159999993</v>
      </c>
    </row>
    <row r="439" spans="1:12" s="3" customFormat="1" ht="15" x14ac:dyDescent="0.25">
      <c r="A439" s="18"/>
      <c r="B439" s="19"/>
      <c r="C439" s="28"/>
      <c r="D439" s="21"/>
      <c r="E439" s="20"/>
      <c r="F439" s="21"/>
      <c r="G439" s="9">
        <f t="shared" si="158"/>
        <v>0</v>
      </c>
      <c r="H439" s="21"/>
      <c r="I439" s="238"/>
      <c r="J439" s="168"/>
      <c r="K439" s="178"/>
      <c r="L439" s="168"/>
    </row>
    <row r="440" spans="1:12" s="3" customFormat="1" ht="15" x14ac:dyDescent="0.25">
      <c r="A440" s="18"/>
      <c r="B440" s="19" t="s">
        <v>288</v>
      </c>
      <c r="C440" s="28"/>
      <c r="D440" s="21"/>
      <c r="E440" s="20"/>
      <c r="F440" s="21"/>
      <c r="G440" s="9">
        <f t="shared" si="158"/>
        <v>0</v>
      </c>
      <c r="H440" s="21"/>
      <c r="I440" s="238"/>
      <c r="J440" s="168"/>
      <c r="K440" s="178"/>
      <c r="L440" s="168"/>
    </row>
    <row r="441" spans="1:12" s="3" customFormat="1" ht="15" x14ac:dyDescent="0.25">
      <c r="A441" s="18"/>
      <c r="B441" s="19"/>
      <c r="C441" s="28"/>
      <c r="D441" s="21"/>
      <c r="E441" s="20"/>
      <c r="F441" s="21"/>
      <c r="G441" s="9"/>
      <c r="H441" s="21"/>
      <c r="I441" s="238"/>
      <c r="J441" s="168"/>
      <c r="K441" s="178"/>
      <c r="L441" s="168"/>
    </row>
    <row r="442" spans="1:12" x14ac:dyDescent="0.2">
      <c r="A442" s="5" t="s">
        <v>562</v>
      </c>
      <c r="B442" s="7" t="s">
        <v>290</v>
      </c>
      <c r="C442" s="29">
        <v>3307856</v>
      </c>
      <c r="D442" s="11">
        <v>233980.7</v>
      </c>
      <c r="E442" s="9">
        <v>0</v>
      </c>
      <c r="F442" s="11">
        <v>1403884.2</v>
      </c>
      <c r="G442" s="9">
        <f t="shared" si="158"/>
        <v>1903971.8</v>
      </c>
      <c r="H442" s="11">
        <v>42.44</v>
      </c>
      <c r="I442" s="240">
        <f>'Corporate Services'!I84</f>
        <v>0</v>
      </c>
      <c r="J442" s="109">
        <f>'Corporate Services'!J84</f>
        <v>3307856</v>
      </c>
      <c r="K442" s="229">
        <f>'Corporate Services'!K84</f>
        <v>3506327.36</v>
      </c>
      <c r="L442" s="109">
        <f>'Corporate Services'!L84</f>
        <v>3716707.0016000001</v>
      </c>
    </row>
    <row r="443" spans="1:12" x14ac:dyDescent="0.2">
      <c r="A443" s="5"/>
      <c r="B443" s="7"/>
      <c r="C443" s="29"/>
      <c r="D443" s="11"/>
      <c r="E443" s="9"/>
      <c r="F443" s="11"/>
      <c r="G443" s="9">
        <f t="shared" si="158"/>
        <v>0</v>
      </c>
      <c r="H443" s="11"/>
      <c r="I443" s="240"/>
      <c r="J443" s="162"/>
      <c r="K443" s="169"/>
      <c r="L443" s="162"/>
    </row>
    <row r="444" spans="1:12" s="3" customFormat="1" ht="15" x14ac:dyDescent="0.25">
      <c r="A444" s="18"/>
      <c r="B444" s="19" t="s">
        <v>291</v>
      </c>
      <c r="C444" s="28">
        <f>SUM(C442:C443)</f>
        <v>3307856</v>
      </c>
      <c r="D444" s="36">
        <f t="shared" ref="D444:G444" si="162">SUM(D442:D443)</f>
        <v>233980.7</v>
      </c>
      <c r="E444" s="28">
        <f t="shared" si="162"/>
        <v>0</v>
      </c>
      <c r="F444" s="36">
        <f t="shared" si="162"/>
        <v>1403884.2</v>
      </c>
      <c r="G444" s="28">
        <f t="shared" si="162"/>
        <v>1903971.8</v>
      </c>
      <c r="H444" s="21">
        <v>42.44</v>
      </c>
      <c r="I444" s="243">
        <f t="shared" ref="I444" si="163">SUM(I442:I443)</f>
        <v>0</v>
      </c>
      <c r="J444" s="172">
        <f t="shared" ref="J444" si="164">SUM(J442:J443)</f>
        <v>3307856</v>
      </c>
      <c r="K444" s="236">
        <f t="shared" ref="K444" si="165">SUM(K442:K443)</f>
        <v>3506327.36</v>
      </c>
      <c r="L444" s="172">
        <f t="shared" ref="L444" si="166">SUM(L442:L443)</f>
        <v>3716707.0016000001</v>
      </c>
    </row>
    <row r="445" spans="1:12" s="3" customFormat="1" ht="15" x14ac:dyDescent="0.25">
      <c r="A445" s="18"/>
      <c r="B445" s="19"/>
      <c r="C445" s="28"/>
      <c r="D445" s="21"/>
      <c r="E445" s="20"/>
      <c r="F445" s="21"/>
      <c r="G445" s="9">
        <f t="shared" si="158"/>
        <v>0</v>
      </c>
      <c r="H445" s="21"/>
      <c r="I445" s="238"/>
      <c r="J445" s="168"/>
      <c r="K445" s="178"/>
      <c r="L445" s="168"/>
    </row>
    <row r="446" spans="1:12" s="3" customFormat="1" ht="15" x14ac:dyDescent="0.25">
      <c r="A446" s="18"/>
      <c r="B446" s="19" t="s">
        <v>292</v>
      </c>
      <c r="C446" s="28">
        <f>C438+C444</f>
        <v>12151529</v>
      </c>
      <c r="D446" s="36">
        <f t="shared" ref="D446:G446" si="167">D438+D444</f>
        <v>1026795.9299999999</v>
      </c>
      <c r="E446" s="28">
        <f t="shared" si="167"/>
        <v>72928.320000000007</v>
      </c>
      <c r="F446" s="36">
        <f t="shared" si="167"/>
        <v>5910581.2199999997</v>
      </c>
      <c r="G446" s="28">
        <f t="shared" si="167"/>
        <v>6168019.46</v>
      </c>
      <c r="H446" s="21">
        <v>48.64</v>
      </c>
      <c r="I446" s="243">
        <f t="shared" ref="I446:L446" si="168">I438+I444</f>
        <v>50737</v>
      </c>
      <c r="J446" s="172">
        <f t="shared" si="168"/>
        <v>12202266</v>
      </c>
      <c r="K446" s="236">
        <f t="shared" si="168"/>
        <v>12827665.959999999</v>
      </c>
      <c r="L446" s="172">
        <f t="shared" si="168"/>
        <v>13496525.917599998</v>
      </c>
    </row>
    <row r="447" spans="1:12" s="3" customFormat="1" ht="15" x14ac:dyDescent="0.25">
      <c r="A447" s="18"/>
      <c r="B447" s="19"/>
      <c r="C447" s="28"/>
      <c r="D447" s="21"/>
      <c r="E447" s="20"/>
      <c r="F447" s="21"/>
      <c r="G447" s="9">
        <f t="shared" ref="G447:G453" si="169">C447-E447-F447</f>
        <v>0</v>
      </c>
      <c r="H447" s="21"/>
      <c r="I447" s="238"/>
      <c r="J447" s="168"/>
      <c r="K447" s="178"/>
      <c r="L447" s="168"/>
    </row>
    <row r="448" spans="1:12" s="3" customFormat="1" ht="15" x14ac:dyDescent="0.25">
      <c r="A448" s="18"/>
      <c r="B448" s="19" t="s">
        <v>293</v>
      </c>
      <c r="C448" s="28"/>
      <c r="D448" s="21"/>
      <c r="E448" s="20"/>
      <c r="F448" s="21"/>
      <c r="G448" s="9">
        <f t="shared" si="169"/>
        <v>0</v>
      </c>
      <c r="H448" s="21"/>
      <c r="I448" s="238"/>
      <c r="J448" s="168"/>
      <c r="K448" s="178"/>
      <c r="L448" s="168"/>
    </row>
    <row r="449" spans="1:12" x14ac:dyDescent="0.2">
      <c r="A449" s="5" t="s">
        <v>563</v>
      </c>
      <c r="B449" s="7" t="s">
        <v>295</v>
      </c>
      <c r="C449" s="29">
        <v>115000</v>
      </c>
      <c r="D449" s="11">
        <v>29038.06</v>
      </c>
      <c r="E449" s="9">
        <v>21344</v>
      </c>
      <c r="F449" s="11">
        <v>89127.59</v>
      </c>
      <c r="G449" s="9">
        <f t="shared" si="169"/>
        <v>4528.4100000000035</v>
      </c>
      <c r="H449" s="11">
        <v>77.5</v>
      </c>
      <c r="I449" s="240">
        <f>'Corporate Services'!I91</f>
        <v>125000</v>
      </c>
      <c r="J449" s="109">
        <f>'Corporate Services'!J91</f>
        <v>240000</v>
      </c>
      <c r="K449" s="229">
        <f>'Corporate Services'!K91</f>
        <v>254400</v>
      </c>
      <c r="L449" s="109">
        <f>'Corporate Services'!L91</f>
        <v>269664</v>
      </c>
    </row>
    <row r="450" spans="1:12" x14ac:dyDescent="0.2">
      <c r="A450" s="5" t="s">
        <v>567</v>
      </c>
      <c r="B450" s="7" t="s">
        <v>304</v>
      </c>
      <c r="C450" s="29">
        <v>75000</v>
      </c>
      <c r="D450" s="11">
        <v>0</v>
      </c>
      <c r="E450" s="9">
        <v>0</v>
      </c>
      <c r="F450" s="11">
        <v>0</v>
      </c>
      <c r="G450" s="9">
        <f t="shared" si="169"/>
        <v>75000</v>
      </c>
      <c r="H450" s="11">
        <v>0</v>
      </c>
      <c r="I450" s="240">
        <f>'Corporate Services'!I94</f>
        <v>-5000</v>
      </c>
      <c r="J450" s="109">
        <f>'Corporate Services'!J94</f>
        <v>70000</v>
      </c>
      <c r="K450" s="229">
        <f>'Corporate Services'!K94</f>
        <v>74200</v>
      </c>
      <c r="L450" s="109">
        <f>'Corporate Services'!L94</f>
        <v>78652</v>
      </c>
    </row>
    <row r="451" spans="1:12" x14ac:dyDescent="0.2">
      <c r="A451" s="5" t="s">
        <v>568</v>
      </c>
      <c r="B451" s="7" t="s">
        <v>306</v>
      </c>
      <c r="C451" s="29">
        <v>70000</v>
      </c>
      <c r="D451" s="11">
        <v>0</v>
      </c>
      <c r="E451" s="9">
        <v>0</v>
      </c>
      <c r="F451" s="11">
        <v>27950</v>
      </c>
      <c r="G451" s="9">
        <f t="shared" si="169"/>
        <v>42050</v>
      </c>
      <c r="H451" s="11">
        <v>39.92</v>
      </c>
      <c r="I451" s="240">
        <f>'Corporate Services'!I95</f>
        <v>200000</v>
      </c>
      <c r="J451" s="109">
        <f>'Corporate Services'!J95</f>
        <v>270000</v>
      </c>
      <c r="K451" s="229">
        <f>'Corporate Services'!K95</f>
        <v>150000</v>
      </c>
      <c r="L451" s="109">
        <f>'Corporate Services'!L95</f>
        <v>159000</v>
      </c>
    </row>
    <row r="452" spans="1:12" x14ac:dyDescent="0.2">
      <c r="A452" s="5" t="s">
        <v>571</v>
      </c>
      <c r="B452" s="7" t="s">
        <v>319</v>
      </c>
      <c r="C452" s="29">
        <v>62156</v>
      </c>
      <c r="D452" s="11">
        <v>0</v>
      </c>
      <c r="E452" s="9">
        <v>0</v>
      </c>
      <c r="F452" s="11">
        <v>9087.1200000000008</v>
      </c>
      <c r="G452" s="9">
        <f t="shared" si="169"/>
        <v>53068.88</v>
      </c>
      <c r="H452" s="11">
        <v>14.61</v>
      </c>
      <c r="I452" s="240">
        <f>'Corporate Services'!I98</f>
        <v>0</v>
      </c>
      <c r="J452" s="109">
        <f>'Corporate Services'!J98</f>
        <v>62156</v>
      </c>
      <c r="K452" s="229">
        <f>'Corporate Services'!K98</f>
        <v>65885.36</v>
      </c>
      <c r="L452" s="109">
        <f>'Corporate Services'!L98</f>
        <v>69838.481599999999</v>
      </c>
    </row>
    <row r="453" spans="1:12" x14ac:dyDescent="0.2">
      <c r="A453" s="5" t="s">
        <v>572</v>
      </c>
      <c r="B453" s="7" t="s">
        <v>323</v>
      </c>
      <c r="C453" s="29">
        <v>449029</v>
      </c>
      <c r="D453" s="11">
        <v>0</v>
      </c>
      <c r="E453" s="9">
        <v>0</v>
      </c>
      <c r="F453" s="11">
        <v>91646.45</v>
      </c>
      <c r="G453" s="9">
        <f t="shared" si="169"/>
        <v>357382.55</v>
      </c>
      <c r="H453" s="11">
        <v>20.399999999999999</v>
      </c>
      <c r="I453" s="240">
        <f>'Corporate Services'!I99</f>
        <v>0</v>
      </c>
      <c r="J453" s="109">
        <f>'Corporate Services'!J99</f>
        <v>449029</v>
      </c>
      <c r="K453" s="229">
        <f>'Corporate Services'!K99</f>
        <v>475970.74</v>
      </c>
      <c r="L453" s="109">
        <f>'Corporate Services'!L99</f>
        <v>504528.98440000002</v>
      </c>
    </row>
    <row r="454" spans="1:12" x14ac:dyDescent="0.2">
      <c r="A454" s="5"/>
      <c r="B454" s="7"/>
      <c r="C454" s="29"/>
      <c r="D454" s="11"/>
      <c r="E454" s="9"/>
      <c r="F454" s="11"/>
      <c r="G454" s="9"/>
      <c r="H454" s="11"/>
      <c r="I454" s="240"/>
      <c r="J454" s="162"/>
      <c r="K454" s="169"/>
      <c r="L454" s="162"/>
    </row>
    <row r="455" spans="1:12" s="3" customFormat="1" ht="15" x14ac:dyDescent="0.25">
      <c r="A455" s="18"/>
      <c r="B455" s="19" t="s">
        <v>1003</v>
      </c>
      <c r="C455" s="28">
        <f>SUM(C449:C454)</f>
        <v>771185</v>
      </c>
      <c r="D455" s="36">
        <f>SUM(D449:D454)</f>
        <v>29038.06</v>
      </c>
      <c r="E455" s="28">
        <f>SUM(E449:E454)</f>
        <v>21344</v>
      </c>
      <c r="F455" s="36">
        <f>SUM(F449:F454)</f>
        <v>217811.15999999997</v>
      </c>
      <c r="G455" s="28">
        <f>SUM(G449:G454)</f>
        <v>532029.84</v>
      </c>
      <c r="H455" s="21">
        <v>28.24</v>
      </c>
      <c r="I455" s="243">
        <f>SUM(I449:I454)</f>
        <v>320000</v>
      </c>
      <c r="J455" s="173">
        <f t="shared" ref="J455:L455" si="170">SUM(J449:J454)</f>
        <v>1091185</v>
      </c>
      <c r="K455" s="247">
        <f t="shared" si="170"/>
        <v>1020456.1</v>
      </c>
      <c r="L455" s="173">
        <f t="shared" si="170"/>
        <v>1081683.466</v>
      </c>
    </row>
    <row r="456" spans="1:12" s="3" customFormat="1" ht="15" x14ac:dyDescent="0.25">
      <c r="A456" s="18"/>
      <c r="B456" s="19"/>
      <c r="C456" s="28"/>
      <c r="D456" s="21"/>
      <c r="E456" s="20"/>
      <c r="F456" s="21"/>
      <c r="G456" s="20"/>
      <c r="H456" s="21"/>
      <c r="I456" s="238"/>
      <c r="J456" s="168"/>
      <c r="K456" s="178"/>
      <c r="L456" s="168"/>
    </row>
    <row r="457" spans="1:12" s="3" customFormat="1" ht="15" x14ac:dyDescent="0.25">
      <c r="A457" s="18"/>
      <c r="B457" s="19" t="s">
        <v>338</v>
      </c>
      <c r="C457" s="28">
        <f>C398+C446+C455</f>
        <v>23927732</v>
      </c>
      <c r="D457" s="36">
        <f>D398+D446+D455</f>
        <v>1925530.0899999999</v>
      </c>
      <c r="E457" s="28">
        <f>E398+E446+E455</f>
        <v>104043.73000000001</v>
      </c>
      <c r="F457" s="36">
        <f>F398+F446+F455</f>
        <v>11105442.09</v>
      </c>
      <c r="G457" s="28">
        <f>G398+G446+G455</f>
        <v>12718246.18</v>
      </c>
      <c r="H457" s="21">
        <v>46.41</v>
      </c>
      <c r="I457" s="243">
        <f>I398+I446+I455</f>
        <v>-66238.280000000028</v>
      </c>
      <c r="J457" s="173">
        <f t="shared" ref="J457:L457" si="171">J398+J446+J455</f>
        <v>23861493.719999999</v>
      </c>
      <c r="K457" s="247">
        <f t="shared" si="171"/>
        <v>25050247.343199998</v>
      </c>
      <c r="L457" s="173">
        <f t="shared" si="171"/>
        <v>26452462.183792002</v>
      </c>
    </row>
    <row r="458" spans="1:12" s="3" customFormat="1" ht="15" x14ac:dyDescent="0.25">
      <c r="A458" s="18"/>
      <c r="B458" s="19"/>
      <c r="C458" s="28"/>
      <c r="D458" s="21"/>
      <c r="E458" s="20"/>
      <c r="F458" s="21"/>
      <c r="G458" s="20"/>
      <c r="H458" s="21"/>
      <c r="I458" s="238"/>
      <c r="J458" s="168"/>
      <c r="K458" s="178"/>
      <c r="L458" s="168"/>
    </row>
    <row r="459" spans="1:12" s="3" customFormat="1" ht="15" x14ac:dyDescent="0.25">
      <c r="A459" s="18"/>
      <c r="B459" s="19" t="s">
        <v>339</v>
      </c>
      <c r="C459" s="28">
        <f>C457</f>
        <v>23927732</v>
      </c>
      <c r="D459" s="36">
        <f t="shared" ref="D459:L459" si="172">D457</f>
        <v>1925530.0899999999</v>
      </c>
      <c r="E459" s="28">
        <f t="shared" si="172"/>
        <v>104043.73000000001</v>
      </c>
      <c r="F459" s="36">
        <f t="shared" si="172"/>
        <v>11105442.09</v>
      </c>
      <c r="G459" s="28">
        <f t="shared" si="172"/>
        <v>12718246.18</v>
      </c>
      <c r="H459" s="21">
        <v>46.41</v>
      </c>
      <c r="I459" s="243">
        <f t="shared" si="172"/>
        <v>-66238.280000000028</v>
      </c>
      <c r="J459" s="173">
        <f t="shared" si="172"/>
        <v>23861493.719999999</v>
      </c>
      <c r="K459" s="247">
        <f t="shared" si="172"/>
        <v>25050247.343199998</v>
      </c>
      <c r="L459" s="173">
        <f t="shared" si="172"/>
        <v>26452462.183792002</v>
      </c>
    </row>
    <row r="460" spans="1:12" s="3" customFormat="1" ht="15" x14ac:dyDescent="0.25">
      <c r="A460" s="18"/>
      <c r="B460" s="19"/>
      <c r="C460" s="28"/>
      <c r="D460" s="21"/>
      <c r="E460" s="20"/>
      <c r="F460" s="21"/>
      <c r="G460" s="20"/>
      <c r="H460" s="21"/>
      <c r="I460" s="238"/>
      <c r="J460" s="168"/>
      <c r="K460" s="178"/>
      <c r="L460" s="168"/>
    </row>
    <row r="461" spans="1:12" s="3" customFormat="1" ht="15" x14ac:dyDescent="0.25">
      <c r="A461" s="18"/>
      <c r="B461" s="19" t="s">
        <v>340</v>
      </c>
      <c r="C461" s="28"/>
      <c r="D461" s="21"/>
      <c r="E461" s="20"/>
      <c r="F461" s="21"/>
      <c r="G461" s="20"/>
      <c r="H461" s="21"/>
      <c r="I461" s="238"/>
      <c r="J461" s="168"/>
      <c r="K461" s="178"/>
      <c r="L461" s="168"/>
    </row>
    <row r="462" spans="1:12" s="3" customFormat="1" ht="15" x14ac:dyDescent="0.25">
      <c r="A462" s="18"/>
      <c r="B462" s="19"/>
      <c r="C462" s="28"/>
      <c r="D462" s="21"/>
      <c r="E462" s="20"/>
      <c r="F462" s="21"/>
      <c r="G462" s="20"/>
      <c r="H462" s="21"/>
      <c r="I462" s="238"/>
      <c r="J462" s="168"/>
      <c r="K462" s="178"/>
      <c r="L462" s="168"/>
    </row>
    <row r="463" spans="1:12" s="3" customFormat="1" ht="15" x14ac:dyDescent="0.25">
      <c r="A463" s="18"/>
      <c r="B463" s="19" t="s">
        <v>381</v>
      </c>
      <c r="C463" s="28"/>
      <c r="D463" s="21"/>
      <c r="E463" s="20"/>
      <c r="F463" s="21"/>
      <c r="G463" s="20"/>
      <c r="H463" s="21"/>
      <c r="I463" s="238"/>
      <c r="J463" s="168"/>
      <c r="K463" s="178"/>
      <c r="L463" s="168"/>
    </row>
    <row r="464" spans="1:12" s="3" customFormat="1" ht="15" x14ac:dyDescent="0.25">
      <c r="A464" s="18"/>
      <c r="B464" s="19"/>
      <c r="C464" s="28"/>
      <c r="D464" s="21"/>
      <c r="E464" s="20"/>
      <c r="F464" s="21"/>
      <c r="G464" s="20"/>
      <c r="H464" s="21"/>
      <c r="I464" s="238"/>
      <c r="J464" s="168"/>
      <c r="K464" s="178"/>
      <c r="L464" s="168"/>
    </row>
    <row r="465" spans="1:12" x14ac:dyDescent="0.2">
      <c r="A465" s="5" t="s">
        <v>574</v>
      </c>
      <c r="B465" s="7" t="s">
        <v>383</v>
      </c>
      <c r="C465" s="29">
        <v>0</v>
      </c>
      <c r="D465" s="11">
        <v>0</v>
      </c>
      <c r="E465" s="9">
        <v>0</v>
      </c>
      <c r="F465" s="11">
        <v>-600</v>
      </c>
      <c r="G465" s="9">
        <v>600</v>
      </c>
      <c r="H465" s="11">
        <v>0</v>
      </c>
      <c r="I465" s="240">
        <f>'Corporate Services'!I111</f>
        <v>0</v>
      </c>
      <c r="J465" s="162">
        <f t="shared" ref="J465:J468" si="173">C465+I465</f>
        <v>0</v>
      </c>
      <c r="K465" s="169"/>
      <c r="L465" s="162"/>
    </row>
    <row r="466" spans="1:12" x14ac:dyDescent="0.2">
      <c r="A466" s="5" t="s">
        <v>575</v>
      </c>
      <c r="B466" s="7" t="s">
        <v>502</v>
      </c>
      <c r="C466" s="29">
        <v>-220000</v>
      </c>
      <c r="D466" s="11">
        <v>0</v>
      </c>
      <c r="E466" s="9">
        <v>0</v>
      </c>
      <c r="F466" s="11">
        <v>0</v>
      </c>
      <c r="G466" s="9">
        <v>-220000</v>
      </c>
      <c r="H466" s="11">
        <v>0</v>
      </c>
      <c r="I466" s="240">
        <f>'Corporate Services'!I112</f>
        <v>0</v>
      </c>
      <c r="J466" s="109">
        <f>'Corporate Services'!J112</f>
        <v>-220000</v>
      </c>
      <c r="K466" s="229">
        <f>'Corporate Services'!K112</f>
        <v>-233200</v>
      </c>
      <c r="L466" s="109">
        <f>'Corporate Services'!L112</f>
        <v>-247192</v>
      </c>
    </row>
    <row r="467" spans="1:12" x14ac:dyDescent="0.2">
      <c r="A467" s="5" t="s">
        <v>577</v>
      </c>
      <c r="B467" s="7" t="s">
        <v>410</v>
      </c>
      <c r="C467" s="29">
        <v>-170783</v>
      </c>
      <c r="D467" s="11">
        <v>0</v>
      </c>
      <c r="E467" s="9">
        <v>0</v>
      </c>
      <c r="F467" s="11">
        <v>-76647.08</v>
      </c>
      <c r="G467" s="9">
        <v>-94135.92</v>
      </c>
      <c r="H467" s="11">
        <v>44.87</v>
      </c>
      <c r="I467" s="240">
        <f>'Corporate Services'!I114</f>
        <v>0</v>
      </c>
      <c r="J467" s="109">
        <f>'Corporate Services'!J114</f>
        <v>-170783</v>
      </c>
      <c r="K467" s="229">
        <f>'Corporate Services'!K114</f>
        <v>-181029.98</v>
      </c>
      <c r="L467" s="109">
        <f>'Corporate Services'!L114</f>
        <v>-191891.7788</v>
      </c>
    </row>
    <row r="468" spans="1:12" x14ac:dyDescent="0.2">
      <c r="A468" s="5" t="s">
        <v>578</v>
      </c>
      <c r="B468" s="7" t="s">
        <v>411</v>
      </c>
      <c r="C468" s="29">
        <v>0</v>
      </c>
      <c r="D468" s="11">
        <v>0</v>
      </c>
      <c r="E468" s="9">
        <v>0</v>
      </c>
      <c r="F468" s="11">
        <v>-2902</v>
      </c>
      <c r="G468" s="9">
        <v>2902</v>
      </c>
      <c r="H468" s="11">
        <v>0</v>
      </c>
      <c r="I468" s="240">
        <f>'Corporate Services'!I115</f>
        <v>0</v>
      </c>
      <c r="J468" s="162">
        <f t="shared" si="173"/>
        <v>0</v>
      </c>
      <c r="K468" s="169"/>
      <c r="L468" s="162"/>
    </row>
    <row r="469" spans="1:12" x14ac:dyDescent="0.2">
      <c r="A469" s="5"/>
      <c r="B469" s="7"/>
      <c r="C469" s="29"/>
      <c r="D469" s="11"/>
      <c r="E469" s="9"/>
      <c r="F469" s="11"/>
      <c r="G469" s="9"/>
      <c r="H469" s="11"/>
      <c r="I469" s="240"/>
      <c r="J469" s="162"/>
      <c r="K469" s="169"/>
      <c r="L469" s="162"/>
    </row>
    <row r="470" spans="1:12" s="3" customFormat="1" ht="15" x14ac:dyDescent="0.25">
      <c r="A470" s="18"/>
      <c r="B470" s="19" t="s">
        <v>426</v>
      </c>
      <c r="C470" s="28">
        <f>SUM(C465:C469)</f>
        <v>-390783</v>
      </c>
      <c r="D470" s="36">
        <f>SUM(D465:D469)</f>
        <v>0</v>
      </c>
      <c r="E470" s="28">
        <f>SUM(E465:E469)</f>
        <v>0</v>
      </c>
      <c r="F470" s="36">
        <f>SUM(F465:F469)</f>
        <v>-80149.08</v>
      </c>
      <c r="G470" s="28">
        <f>SUM(G465:G469)</f>
        <v>-310633.92</v>
      </c>
      <c r="H470" s="21">
        <v>20.5</v>
      </c>
      <c r="I470" s="243">
        <f>SUM(I465:I469)</f>
        <v>0</v>
      </c>
      <c r="J470" s="172">
        <f>SUM(J465:J469)</f>
        <v>-390783</v>
      </c>
      <c r="K470" s="236">
        <f>SUM(K465:K469)</f>
        <v>-414229.98</v>
      </c>
      <c r="L470" s="172">
        <f>SUM(L465:L469)</f>
        <v>-439083.77879999997</v>
      </c>
    </row>
    <row r="471" spans="1:12" s="3" customFormat="1" ht="15" x14ac:dyDescent="0.25">
      <c r="A471" s="18"/>
      <c r="B471" s="19"/>
      <c r="C471" s="28"/>
      <c r="D471" s="21"/>
      <c r="E471" s="20"/>
      <c r="F471" s="21"/>
      <c r="G471" s="20"/>
      <c r="H471" s="21"/>
      <c r="I471" s="238"/>
      <c r="J471" s="168"/>
      <c r="K471" s="178"/>
      <c r="L471" s="168"/>
    </row>
    <row r="472" spans="1:12" s="3" customFormat="1" ht="15" x14ac:dyDescent="0.25">
      <c r="A472" s="18"/>
      <c r="B472" s="19" t="s">
        <v>427</v>
      </c>
      <c r="C472" s="28">
        <f>C470</f>
        <v>-390783</v>
      </c>
      <c r="D472" s="36">
        <f t="shared" ref="D472:L472" si="174">D470</f>
        <v>0</v>
      </c>
      <c r="E472" s="28">
        <f t="shared" si="174"/>
        <v>0</v>
      </c>
      <c r="F472" s="36">
        <f t="shared" si="174"/>
        <v>-80149.08</v>
      </c>
      <c r="G472" s="28">
        <f t="shared" si="174"/>
        <v>-310633.92</v>
      </c>
      <c r="H472" s="21">
        <v>20.5</v>
      </c>
      <c r="I472" s="243">
        <f t="shared" si="174"/>
        <v>0</v>
      </c>
      <c r="J472" s="172">
        <f t="shared" si="174"/>
        <v>-390783</v>
      </c>
      <c r="K472" s="236">
        <f t="shared" si="174"/>
        <v>-414229.98</v>
      </c>
      <c r="L472" s="172">
        <f t="shared" si="174"/>
        <v>-439083.77879999997</v>
      </c>
    </row>
    <row r="473" spans="1:12" s="3" customFormat="1" ht="15" x14ac:dyDescent="0.25">
      <c r="A473" s="18"/>
      <c r="B473" s="19"/>
      <c r="C473" s="28"/>
      <c r="D473" s="21"/>
      <c r="E473" s="20"/>
      <c r="F473" s="21"/>
      <c r="G473" s="20"/>
      <c r="H473" s="21"/>
      <c r="I473" s="238"/>
      <c r="J473" s="168"/>
      <c r="K473" s="178"/>
      <c r="L473" s="168"/>
    </row>
    <row r="474" spans="1:12" s="3" customFormat="1" ht="15" x14ac:dyDescent="0.25">
      <c r="A474" s="18"/>
      <c r="B474" s="19" t="s">
        <v>428</v>
      </c>
      <c r="C474" s="28">
        <f>C472</f>
        <v>-390783</v>
      </c>
      <c r="D474" s="36">
        <f t="shared" ref="D474:G474" si="175">D472</f>
        <v>0</v>
      </c>
      <c r="E474" s="28">
        <f t="shared" si="175"/>
        <v>0</v>
      </c>
      <c r="F474" s="36">
        <f t="shared" si="175"/>
        <v>-80149.08</v>
      </c>
      <c r="G474" s="28">
        <f t="shared" si="175"/>
        <v>-310633.92</v>
      </c>
      <c r="H474" s="21">
        <v>20.5</v>
      </c>
      <c r="I474" s="243">
        <f t="shared" ref="I474:L474" si="176">I472</f>
        <v>0</v>
      </c>
      <c r="J474" s="172">
        <f t="shared" si="176"/>
        <v>-390783</v>
      </c>
      <c r="K474" s="236">
        <f t="shared" si="176"/>
        <v>-414229.98</v>
      </c>
      <c r="L474" s="172">
        <f t="shared" si="176"/>
        <v>-439083.77879999997</v>
      </c>
    </row>
    <row r="475" spans="1:12" s="3" customFormat="1" ht="15" x14ac:dyDescent="0.25">
      <c r="A475" s="18"/>
      <c r="B475" s="19"/>
      <c r="C475" s="28"/>
      <c r="D475" s="21"/>
      <c r="E475" s="20"/>
      <c r="F475" s="21"/>
      <c r="G475" s="20"/>
      <c r="H475" s="21"/>
      <c r="I475" s="238"/>
      <c r="J475" s="168"/>
      <c r="K475" s="178"/>
      <c r="L475" s="168"/>
    </row>
    <row r="476" spans="1:12" s="3" customFormat="1" ht="15" x14ac:dyDescent="0.25">
      <c r="A476" s="18"/>
      <c r="B476" s="19" t="s">
        <v>429</v>
      </c>
      <c r="C476" s="28">
        <f>C474</f>
        <v>-390783</v>
      </c>
      <c r="D476" s="36">
        <f t="shared" ref="D476:G476" si="177">D474</f>
        <v>0</v>
      </c>
      <c r="E476" s="28">
        <f t="shared" si="177"/>
        <v>0</v>
      </c>
      <c r="F476" s="36">
        <f t="shared" si="177"/>
        <v>-80149.08</v>
      </c>
      <c r="G476" s="28">
        <f t="shared" si="177"/>
        <v>-310633.92</v>
      </c>
      <c r="H476" s="21">
        <v>20.5</v>
      </c>
      <c r="I476" s="243">
        <f t="shared" ref="I476:L476" si="178">I474</f>
        <v>0</v>
      </c>
      <c r="J476" s="172">
        <f t="shared" si="178"/>
        <v>-390783</v>
      </c>
      <c r="K476" s="236">
        <f t="shared" si="178"/>
        <v>-414229.98</v>
      </c>
      <c r="L476" s="172">
        <f t="shared" si="178"/>
        <v>-439083.77879999997</v>
      </c>
    </row>
    <row r="477" spans="1:12" x14ac:dyDescent="0.2">
      <c r="A477" s="5"/>
      <c r="B477" s="7"/>
      <c r="C477" s="29"/>
      <c r="D477" s="11"/>
      <c r="E477" s="9"/>
      <c r="F477" s="11"/>
      <c r="G477" s="9"/>
      <c r="H477" s="11"/>
      <c r="I477" s="240"/>
      <c r="J477" s="162"/>
      <c r="K477" s="169"/>
      <c r="L477" s="162"/>
    </row>
    <row r="478" spans="1:12" s="3" customFormat="1" ht="15" x14ac:dyDescent="0.25">
      <c r="A478" s="18"/>
      <c r="B478" s="19" t="s">
        <v>431</v>
      </c>
      <c r="C478" s="28"/>
      <c r="D478" s="21"/>
      <c r="E478" s="20"/>
      <c r="F478" s="21"/>
      <c r="G478" s="20"/>
      <c r="H478" s="21"/>
      <c r="I478" s="238"/>
      <c r="J478" s="168"/>
      <c r="K478" s="178"/>
      <c r="L478" s="168"/>
    </row>
    <row r="479" spans="1:12" x14ac:dyDescent="0.2">
      <c r="A479" s="5" t="s">
        <v>579</v>
      </c>
      <c r="B479" s="7" t="s">
        <v>433</v>
      </c>
      <c r="C479" s="29">
        <f>C459</f>
        <v>23927732</v>
      </c>
      <c r="D479" s="37">
        <f>D459</f>
        <v>1925530.0899999999</v>
      </c>
      <c r="E479" s="29">
        <f>E459</f>
        <v>104043.73000000001</v>
      </c>
      <c r="F479" s="37">
        <f>F459</f>
        <v>11105442.09</v>
      </c>
      <c r="G479" s="29">
        <f>G459</f>
        <v>12718246.18</v>
      </c>
      <c r="H479" s="11">
        <v>46.41</v>
      </c>
      <c r="I479" s="239">
        <f>I459</f>
        <v>-66238.280000000028</v>
      </c>
      <c r="J479" s="116">
        <f>J459</f>
        <v>23861493.719999999</v>
      </c>
      <c r="K479" s="246">
        <f>K459</f>
        <v>25050247.343199998</v>
      </c>
      <c r="L479" s="116">
        <f>L459</f>
        <v>26452462.183792002</v>
      </c>
    </row>
    <row r="480" spans="1:12" x14ac:dyDescent="0.2">
      <c r="A480" s="5" t="s">
        <v>580</v>
      </c>
      <c r="B480" s="7" t="s">
        <v>429</v>
      </c>
      <c r="C480" s="29">
        <f>C476</f>
        <v>-390783</v>
      </c>
      <c r="D480" s="37">
        <f t="shared" ref="D480:G480" si="179">D476</f>
        <v>0</v>
      </c>
      <c r="E480" s="29">
        <f t="shared" si="179"/>
        <v>0</v>
      </c>
      <c r="F480" s="37">
        <f t="shared" si="179"/>
        <v>-80149.08</v>
      </c>
      <c r="G480" s="29">
        <f t="shared" si="179"/>
        <v>-310633.92</v>
      </c>
      <c r="H480" s="11">
        <v>20.5</v>
      </c>
      <c r="I480" s="239">
        <f t="shared" ref="I480:L480" si="180">I476</f>
        <v>0</v>
      </c>
      <c r="J480" s="116">
        <f t="shared" si="180"/>
        <v>-390783</v>
      </c>
      <c r="K480" s="246">
        <f t="shared" si="180"/>
        <v>-414229.98</v>
      </c>
      <c r="L480" s="116">
        <f t="shared" si="180"/>
        <v>-439083.77879999997</v>
      </c>
    </row>
    <row r="481" spans="1:12" x14ac:dyDescent="0.2">
      <c r="A481" s="5"/>
      <c r="B481" s="7"/>
      <c r="C481" s="29"/>
      <c r="D481" s="11"/>
      <c r="E481" s="9"/>
      <c r="F481" s="11"/>
      <c r="G481" s="9"/>
      <c r="H481" s="11"/>
      <c r="I481" s="240"/>
      <c r="J481" s="162"/>
      <c r="K481" s="169"/>
      <c r="L481" s="162"/>
    </row>
    <row r="482" spans="1:12" s="3" customFormat="1" ht="15" x14ac:dyDescent="0.25">
      <c r="A482" s="18"/>
      <c r="B482" s="19" t="s">
        <v>435</v>
      </c>
      <c r="C482" s="28">
        <f>C479+C480</f>
        <v>23536949</v>
      </c>
      <c r="D482" s="36">
        <f t="shared" ref="D482:G482" si="181">D479+D480</f>
        <v>1925530.0899999999</v>
      </c>
      <c r="E482" s="28">
        <f t="shared" si="181"/>
        <v>104043.73000000001</v>
      </c>
      <c r="F482" s="36">
        <f t="shared" si="181"/>
        <v>11025293.01</v>
      </c>
      <c r="G482" s="28">
        <f t="shared" si="181"/>
        <v>12407612.26</v>
      </c>
      <c r="H482" s="21">
        <v>46.84</v>
      </c>
      <c r="I482" s="243">
        <f t="shared" ref="I482:L482" si="182">I479+I480</f>
        <v>-66238.280000000028</v>
      </c>
      <c r="J482" s="172">
        <f t="shared" si="182"/>
        <v>23470710.719999999</v>
      </c>
      <c r="K482" s="236">
        <f t="shared" si="182"/>
        <v>24636017.363199998</v>
      </c>
      <c r="L482" s="172">
        <f t="shared" si="182"/>
        <v>26013378.404992003</v>
      </c>
    </row>
    <row r="483" spans="1:12" s="3" customFormat="1" ht="15" x14ac:dyDescent="0.25">
      <c r="A483" s="18"/>
      <c r="B483" s="19"/>
      <c r="C483" s="28"/>
      <c r="D483" s="21"/>
      <c r="E483" s="20"/>
      <c r="F483" s="21"/>
      <c r="G483" s="20"/>
      <c r="H483" s="21"/>
      <c r="I483" s="238"/>
      <c r="J483" s="168"/>
      <c r="K483" s="178"/>
      <c r="L483" s="168"/>
    </row>
    <row r="484" spans="1:12" s="3" customFormat="1" ht="15" x14ac:dyDescent="0.25">
      <c r="A484" s="18"/>
      <c r="B484" s="19" t="s">
        <v>436</v>
      </c>
      <c r="C484" s="28">
        <f>C482</f>
        <v>23536949</v>
      </c>
      <c r="D484" s="36">
        <f t="shared" ref="D484:G484" si="183">D482</f>
        <v>1925530.0899999999</v>
      </c>
      <c r="E484" s="28">
        <f t="shared" si="183"/>
        <v>104043.73000000001</v>
      </c>
      <c r="F484" s="36">
        <f t="shared" si="183"/>
        <v>11025293.01</v>
      </c>
      <c r="G484" s="28">
        <f t="shared" si="183"/>
        <v>12407612.26</v>
      </c>
      <c r="H484" s="21">
        <v>46.84</v>
      </c>
      <c r="I484" s="243">
        <f t="shared" ref="I484:L484" si="184">I482</f>
        <v>-66238.280000000028</v>
      </c>
      <c r="J484" s="172">
        <f t="shared" si="184"/>
        <v>23470710.719999999</v>
      </c>
      <c r="K484" s="236">
        <f t="shared" si="184"/>
        <v>24636017.363199998</v>
      </c>
      <c r="L484" s="172">
        <f t="shared" si="184"/>
        <v>26013378.404992003</v>
      </c>
    </row>
    <row r="485" spans="1:12" s="3" customFormat="1" ht="15" x14ac:dyDescent="0.25">
      <c r="A485" s="18"/>
      <c r="B485" s="19"/>
      <c r="C485" s="28"/>
      <c r="D485" s="21"/>
      <c r="E485" s="20"/>
      <c r="F485" s="21"/>
      <c r="G485" s="20"/>
      <c r="H485" s="21"/>
      <c r="I485" s="238"/>
      <c r="J485" s="168"/>
      <c r="K485" s="178"/>
      <c r="L485" s="168"/>
    </row>
    <row r="486" spans="1:12" s="3" customFormat="1" ht="15" x14ac:dyDescent="0.25">
      <c r="A486" s="18"/>
      <c r="B486" s="19" t="s">
        <v>437</v>
      </c>
      <c r="C486" s="28"/>
      <c r="D486" s="21"/>
      <c r="E486" s="20"/>
      <c r="F486" s="21"/>
      <c r="G486" s="20"/>
      <c r="H486" s="21"/>
      <c r="I486" s="238"/>
      <c r="J486" s="168"/>
      <c r="K486" s="178"/>
      <c r="L486" s="168"/>
    </row>
    <row r="487" spans="1:12" s="3" customFormat="1" ht="15" x14ac:dyDescent="0.25">
      <c r="A487" s="18"/>
      <c r="B487" s="19"/>
      <c r="C487" s="28"/>
      <c r="D487" s="21"/>
      <c r="E487" s="20"/>
      <c r="F487" s="21"/>
      <c r="G487" s="20"/>
      <c r="H487" s="21"/>
      <c r="I487" s="238"/>
      <c r="J487" s="168"/>
      <c r="K487" s="178"/>
      <c r="L487" s="168"/>
    </row>
    <row r="488" spans="1:12" x14ac:dyDescent="0.2">
      <c r="A488" s="5" t="s">
        <v>581</v>
      </c>
      <c r="B488" s="7" t="s">
        <v>439</v>
      </c>
      <c r="C488" s="29">
        <v>510000</v>
      </c>
      <c r="D488" s="11">
        <v>0</v>
      </c>
      <c r="E488" s="9">
        <v>0</v>
      </c>
      <c r="F488" s="11">
        <v>311200</v>
      </c>
      <c r="G488" s="9">
        <f t="shared" ref="G488:G494" si="185">C488-E488-F488</f>
        <v>198800</v>
      </c>
      <c r="H488" s="11">
        <v>61.01</v>
      </c>
      <c r="I488" s="240">
        <f>'Corporate Services'!I135</f>
        <v>200000</v>
      </c>
      <c r="J488" s="109">
        <f>C488+I488</f>
        <v>710000</v>
      </c>
      <c r="K488" s="229">
        <f>'Corporate Services'!K135</f>
        <v>0</v>
      </c>
      <c r="L488" s="109">
        <f>'Corporate Services'!L135</f>
        <v>0</v>
      </c>
    </row>
    <row r="489" spans="1:12" x14ac:dyDescent="0.2">
      <c r="A489" s="5"/>
      <c r="B489" s="111" t="s">
        <v>1053</v>
      </c>
      <c r="C489" s="29"/>
      <c r="D489" s="11"/>
      <c r="E489" s="9"/>
      <c r="F489" s="11"/>
      <c r="G489" s="9"/>
      <c r="H489" s="11"/>
      <c r="I489" s="240">
        <f>'Corporate Services'!I136</f>
        <v>0</v>
      </c>
      <c r="J489" s="109">
        <f t="shared" ref="J489:J494" si="186">C489+I489</f>
        <v>0</v>
      </c>
      <c r="K489" s="229">
        <f>'Corporate Services'!K136</f>
        <v>100000</v>
      </c>
      <c r="L489" s="109">
        <f>'Corporate Services'!L136</f>
        <v>0</v>
      </c>
    </row>
    <row r="490" spans="1:12" x14ac:dyDescent="0.2">
      <c r="A490" s="5"/>
      <c r="B490" s="111" t="s">
        <v>1052</v>
      </c>
      <c r="C490" s="29"/>
      <c r="D490" s="11"/>
      <c r="E490" s="9"/>
      <c r="F490" s="11"/>
      <c r="G490" s="9"/>
      <c r="H490" s="11"/>
      <c r="I490" s="240">
        <f>'Corporate Services'!I137</f>
        <v>0</v>
      </c>
      <c r="J490" s="109">
        <f t="shared" si="186"/>
        <v>0</v>
      </c>
      <c r="K490" s="229">
        <f>'Corporate Services'!K137</f>
        <v>80000</v>
      </c>
      <c r="L490" s="109">
        <f>'Corporate Services'!L137</f>
        <v>0</v>
      </c>
    </row>
    <row r="491" spans="1:12" x14ac:dyDescent="0.2">
      <c r="A491" s="5"/>
      <c r="B491" s="111" t="s">
        <v>1050</v>
      </c>
      <c r="C491" s="29"/>
      <c r="D491" s="11"/>
      <c r="E491" s="9"/>
      <c r="F491" s="11"/>
      <c r="G491" s="9"/>
      <c r="H491" s="11"/>
      <c r="I491" s="240">
        <f>'Corporate Services'!I138</f>
        <v>0</v>
      </c>
      <c r="J491" s="109">
        <f t="shared" si="186"/>
        <v>0</v>
      </c>
      <c r="K491" s="229">
        <f>'Corporate Services'!K138</f>
        <v>500000</v>
      </c>
      <c r="L491" s="109">
        <f>'Corporate Services'!L138</f>
        <v>0</v>
      </c>
    </row>
    <row r="492" spans="1:12" x14ac:dyDescent="0.2">
      <c r="A492" s="5"/>
      <c r="B492" s="111" t="s">
        <v>1051</v>
      </c>
      <c r="C492" s="29"/>
      <c r="D492" s="11"/>
      <c r="E492" s="9"/>
      <c r="F492" s="11"/>
      <c r="G492" s="9"/>
      <c r="H492" s="11"/>
      <c r="I492" s="240">
        <f>'Corporate Services'!I139</f>
        <v>0</v>
      </c>
      <c r="J492" s="109">
        <f t="shared" si="186"/>
        <v>0</v>
      </c>
      <c r="K492" s="229">
        <f>'Corporate Services'!K139</f>
        <v>0</v>
      </c>
      <c r="L492" s="109">
        <f>'Corporate Services'!L139</f>
        <v>900000</v>
      </c>
    </row>
    <row r="493" spans="1:12" x14ac:dyDescent="0.2">
      <c r="A493" s="5"/>
      <c r="B493" s="111" t="s">
        <v>1054</v>
      </c>
      <c r="C493" s="29"/>
      <c r="D493" s="11"/>
      <c r="E493" s="9"/>
      <c r="F493" s="11"/>
      <c r="G493" s="9"/>
      <c r="H493" s="11"/>
      <c r="I493" s="240">
        <f>'Corporate Services'!I140</f>
        <v>0</v>
      </c>
      <c r="J493" s="109">
        <f t="shared" si="186"/>
        <v>0</v>
      </c>
      <c r="K493" s="229">
        <f>'Corporate Services'!K140</f>
        <v>300000</v>
      </c>
      <c r="L493" s="109">
        <f>'Corporate Services'!L140</f>
        <v>200000</v>
      </c>
    </row>
    <row r="494" spans="1:12" x14ac:dyDescent="0.2">
      <c r="A494" s="5" t="s">
        <v>582</v>
      </c>
      <c r="B494" s="7" t="s">
        <v>462</v>
      </c>
      <c r="C494" s="29">
        <v>500000</v>
      </c>
      <c r="D494" s="11">
        <v>0</v>
      </c>
      <c r="E494" s="9">
        <f>500000-29685</f>
        <v>470315</v>
      </c>
      <c r="F494" s="11">
        <v>0</v>
      </c>
      <c r="G494" s="9">
        <f t="shared" si="185"/>
        <v>29685</v>
      </c>
      <c r="H494" s="11">
        <v>0</v>
      </c>
      <c r="I494" s="240">
        <f>'Corporate Services'!I141</f>
        <v>-29685</v>
      </c>
      <c r="J494" s="109">
        <f t="shared" si="186"/>
        <v>470315</v>
      </c>
      <c r="K494" s="169">
        <v>0</v>
      </c>
      <c r="L494" s="162">
        <v>0</v>
      </c>
    </row>
    <row r="495" spans="1:12" x14ac:dyDescent="0.2">
      <c r="A495" s="5"/>
      <c r="B495" s="7"/>
      <c r="C495" s="29"/>
      <c r="D495" s="11"/>
      <c r="E495" s="9"/>
      <c r="F495" s="11"/>
      <c r="G495" s="9"/>
      <c r="H495" s="11"/>
      <c r="I495" s="240"/>
      <c r="J495" s="162"/>
      <c r="K495" s="169"/>
      <c r="L495" s="162"/>
    </row>
    <row r="496" spans="1:12" s="3" customFormat="1" ht="15" x14ac:dyDescent="0.25">
      <c r="A496" s="18"/>
      <c r="B496" s="19" t="s">
        <v>471</v>
      </c>
      <c r="C496" s="28">
        <f>SUM(C488:C495)</f>
        <v>1010000</v>
      </c>
      <c r="D496" s="36">
        <f t="shared" ref="D496:G496" si="187">SUM(D488:D495)</f>
        <v>0</v>
      </c>
      <c r="E496" s="28">
        <f t="shared" si="187"/>
        <v>470315</v>
      </c>
      <c r="F496" s="36">
        <f t="shared" si="187"/>
        <v>311200</v>
      </c>
      <c r="G496" s="28">
        <f t="shared" si="187"/>
        <v>228485</v>
      </c>
      <c r="H496" s="21">
        <v>30.81</v>
      </c>
      <c r="I496" s="243">
        <f t="shared" ref="I496" si="188">SUM(I488:I495)</f>
        <v>170315</v>
      </c>
      <c r="J496" s="172">
        <f t="shared" ref="J496" si="189">SUM(J488:J495)</f>
        <v>1180315</v>
      </c>
      <c r="K496" s="236">
        <f t="shared" ref="K496" si="190">SUM(K488:K495)</f>
        <v>980000</v>
      </c>
      <c r="L496" s="172">
        <f t="shared" ref="L496" si="191">SUM(L488:L495)</f>
        <v>1100000</v>
      </c>
    </row>
    <row r="497" spans="1:12" x14ac:dyDescent="0.2">
      <c r="A497" s="5"/>
      <c r="B497" s="7"/>
      <c r="C497" s="29"/>
      <c r="D497" s="11"/>
      <c r="E497" s="9"/>
      <c r="F497" s="11"/>
      <c r="G497" s="9"/>
      <c r="H497" s="11"/>
      <c r="I497" s="240"/>
      <c r="J497" s="162"/>
      <c r="K497" s="169"/>
      <c r="L497" s="162"/>
    </row>
    <row r="498" spans="1:12" s="3" customFormat="1" ht="15" x14ac:dyDescent="0.25">
      <c r="A498" s="18"/>
      <c r="B498" s="19" t="s">
        <v>472</v>
      </c>
      <c r="C498" s="28">
        <f>C496</f>
        <v>1010000</v>
      </c>
      <c r="D498" s="36">
        <f t="shared" ref="D498:L498" si="192">D496</f>
        <v>0</v>
      </c>
      <c r="E498" s="28">
        <f t="shared" si="192"/>
        <v>470315</v>
      </c>
      <c r="F498" s="36">
        <f t="shared" si="192"/>
        <v>311200</v>
      </c>
      <c r="G498" s="28">
        <f t="shared" si="192"/>
        <v>228485</v>
      </c>
      <c r="H498" s="21">
        <v>30.81</v>
      </c>
      <c r="I498" s="243">
        <f t="shared" si="192"/>
        <v>170315</v>
      </c>
      <c r="J498" s="172">
        <f t="shared" si="192"/>
        <v>1180315</v>
      </c>
      <c r="K498" s="236">
        <f t="shared" si="192"/>
        <v>980000</v>
      </c>
      <c r="L498" s="172">
        <f t="shared" si="192"/>
        <v>1100000</v>
      </c>
    </row>
    <row r="499" spans="1:12" s="3" customFormat="1" ht="15" x14ac:dyDescent="0.25">
      <c r="A499" s="18"/>
      <c r="B499" s="19"/>
      <c r="C499" s="28"/>
      <c r="D499" s="21"/>
      <c r="E499" s="20"/>
      <c r="F499" s="21"/>
      <c r="G499" s="20"/>
      <c r="H499" s="21"/>
      <c r="I499" s="238"/>
      <c r="J499" s="168"/>
      <c r="K499" s="178"/>
      <c r="L499" s="168"/>
    </row>
    <row r="500" spans="1:12" s="3" customFormat="1" ht="15" x14ac:dyDescent="0.25">
      <c r="A500" s="18"/>
      <c r="B500" s="19" t="s">
        <v>473</v>
      </c>
      <c r="C500" s="28"/>
      <c r="D500" s="21"/>
      <c r="E500" s="20"/>
      <c r="F500" s="21"/>
      <c r="G500" s="20"/>
      <c r="H500" s="21"/>
      <c r="I500" s="238"/>
      <c r="J500" s="168"/>
      <c r="K500" s="178"/>
      <c r="L500" s="168"/>
    </row>
    <row r="501" spans="1:12" s="3" customFormat="1" ht="15" x14ac:dyDescent="0.25">
      <c r="A501" s="18"/>
      <c r="B501" s="19"/>
      <c r="C501" s="28"/>
      <c r="D501" s="21"/>
      <c r="E501" s="20"/>
      <c r="F501" s="21"/>
      <c r="G501" s="20"/>
      <c r="H501" s="21"/>
      <c r="I501" s="238"/>
      <c r="J501" s="168"/>
      <c r="K501" s="178"/>
      <c r="L501" s="168"/>
    </row>
    <row r="502" spans="1:12" s="323" customFormat="1" x14ac:dyDescent="0.2">
      <c r="A502" s="319" t="s">
        <v>583</v>
      </c>
      <c r="B502" s="320" t="s">
        <v>491</v>
      </c>
      <c r="C502" s="321">
        <v>0</v>
      </c>
      <c r="D502" s="322">
        <v>0</v>
      </c>
      <c r="E502" s="241">
        <v>0</v>
      </c>
      <c r="F502" s="322">
        <v>0</v>
      </c>
      <c r="G502" s="241">
        <f t="shared" ref="G502" si="193">C502-E502-F502</f>
        <v>0</v>
      </c>
      <c r="H502" s="322">
        <v>0</v>
      </c>
      <c r="I502" s="240">
        <f>'Corporate Services'!I149</f>
        <v>258376</v>
      </c>
      <c r="J502" s="109">
        <f>C502+I502</f>
        <v>258376</v>
      </c>
      <c r="K502" s="229">
        <v>0</v>
      </c>
      <c r="L502" s="109">
        <v>0</v>
      </c>
    </row>
    <row r="503" spans="1:12" x14ac:dyDescent="0.2">
      <c r="A503" s="5"/>
      <c r="B503" s="7"/>
      <c r="C503" s="29"/>
      <c r="D503" s="11"/>
      <c r="E503" s="32"/>
      <c r="F503" s="11"/>
      <c r="G503" s="9"/>
      <c r="H503" s="11"/>
      <c r="I503" s="240"/>
      <c r="J503" s="162"/>
      <c r="K503" s="169"/>
      <c r="L503" s="162"/>
    </row>
    <row r="504" spans="1:12" s="3" customFormat="1" ht="15" x14ac:dyDescent="0.25">
      <c r="A504" s="18"/>
      <c r="B504" s="19" t="s">
        <v>494</v>
      </c>
      <c r="C504" s="28">
        <f>SUM(C502:C503)</f>
        <v>0</v>
      </c>
      <c r="D504" s="36">
        <f t="shared" ref="D504:G504" si="194">SUM(D502:D503)</f>
        <v>0</v>
      </c>
      <c r="E504" s="28">
        <f t="shared" si="194"/>
        <v>0</v>
      </c>
      <c r="F504" s="36">
        <f t="shared" si="194"/>
        <v>0</v>
      </c>
      <c r="G504" s="28">
        <f t="shared" si="194"/>
        <v>0</v>
      </c>
      <c r="H504" s="21">
        <v>0</v>
      </c>
      <c r="I504" s="243">
        <f t="shared" ref="I504" si="195">SUM(I502:I503)</f>
        <v>258376</v>
      </c>
      <c r="J504" s="172">
        <f t="shared" ref="J504" si="196">SUM(J502:J503)</f>
        <v>258376</v>
      </c>
      <c r="K504" s="236">
        <f t="shared" ref="K504" si="197">SUM(K502:K503)</f>
        <v>0</v>
      </c>
      <c r="L504" s="172">
        <f t="shared" ref="L504" si="198">SUM(L502:L503)</f>
        <v>0</v>
      </c>
    </row>
    <row r="505" spans="1:12" s="3" customFormat="1" ht="15" x14ac:dyDescent="0.25">
      <c r="A505" s="18"/>
      <c r="B505" s="19"/>
      <c r="C505" s="28"/>
      <c r="D505" s="36"/>
      <c r="E505" s="28"/>
      <c r="F505" s="36"/>
      <c r="G505" s="28"/>
      <c r="H505" s="21"/>
      <c r="I505" s="243"/>
      <c r="J505" s="172"/>
      <c r="K505" s="236"/>
      <c r="L505" s="172"/>
    </row>
    <row r="506" spans="1:12" s="3" customFormat="1" ht="15" x14ac:dyDescent="0.25">
      <c r="A506" s="18"/>
      <c r="B506" s="19" t="s">
        <v>496</v>
      </c>
      <c r="C506" s="28"/>
      <c r="D506" s="36"/>
      <c r="E506" s="28"/>
      <c r="F506" s="36"/>
      <c r="G506" s="28"/>
      <c r="H506" s="21"/>
      <c r="I506" s="243">
        <f>I498+I504</f>
        <v>428691</v>
      </c>
      <c r="J506" s="173">
        <f t="shared" ref="J506:L506" si="199">J498+J504</f>
        <v>1438691</v>
      </c>
      <c r="K506" s="247">
        <f t="shared" si="199"/>
        <v>980000</v>
      </c>
      <c r="L506" s="173">
        <f t="shared" si="199"/>
        <v>1100000</v>
      </c>
    </row>
    <row r="507" spans="1:12" s="3" customFormat="1" ht="15" x14ac:dyDescent="0.25">
      <c r="A507" s="18"/>
      <c r="B507" s="19"/>
      <c r="C507" s="28"/>
      <c r="D507" s="21"/>
      <c r="E507" s="20"/>
      <c r="F507" s="21"/>
      <c r="G507" s="20"/>
      <c r="H507" s="21"/>
      <c r="I507" s="238"/>
      <c r="J507" s="168"/>
      <c r="K507" s="178"/>
      <c r="L507" s="168"/>
    </row>
    <row r="508" spans="1:12" s="3" customFormat="1" ht="15" x14ac:dyDescent="0.25">
      <c r="A508" s="18"/>
      <c r="B508" s="19" t="s">
        <v>584</v>
      </c>
      <c r="C508" s="28"/>
      <c r="D508" s="21"/>
      <c r="E508" s="20"/>
      <c r="F508" s="21"/>
      <c r="G508" s="20"/>
      <c r="H508" s="21"/>
      <c r="I508" s="238"/>
      <c r="J508" s="168"/>
      <c r="K508" s="178"/>
      <c r="L508" s="168"/>
    </row>
    <row r="509" spans="1:12" s="3" customFormat="1" ht="15" x14ac:dyDescent="0.25">
      <c r="A509" s="18"/>
      <c r="B509" s="19"/>
      <c r="C509" s="28"/>
      <c r="D509" s="21"/>
      <c r="E509" s="20"/>
      <c r="F509" s="21"/>
      <c r="G509" s="20"/>
      <c r="H509" s="21"/>
      <c r="I509" s="238"/>
      <c r="J509" s="168"/>
      <c r="K509" s="178"/>
      <c r="L509" s="168"/>
    </row>
    <row r="510" spans="1:12" s="3" customFormat="1" ht="15" x14ac:dyDescent="0.25">
      <c r="A510" s="18"/>
      <c r="B510" s="19" t="s">
        <v>9</v>
      </c>
      <c r="C510" s="28"/>
      <c r="D510" s="21"/>
      <c r="E510" s="20"/>
      <c r="F510" s="21"/>
      <c r="G510" s="20"/>
      <c r="H510" s="21"/>
      <c r="I510" s="238"/>
      <c r="J510" s="168"/>
      <c r="K510" s="178"/>
      <c r="L510" s="168"/>
    </row>
    <row r="511" spans="1:12" s="3" customFormat="1" ht="15" x14ac:dyDescent="0.25">
      <c r="A511" s="18"/>
      <c r="B511" s="19"/>
      <c r="C511" s="28"/>
      <c r="D511" s="21"/>
      <c r="E511" s="20"/>
      <c r="F511" s="21"/>
      <c r="G511" s="20"/>
      <c r="H511" s="21"/>
      <c r="I511" s="238"/>
      <c r="J511" s="168"/>
      <c r="K511" s="178"/>
      <c r="L511" s="168"/>
    </row>
    <row r="512" spans="1:12" s="3" customFormat="1" ht="15" x14ac:dyDescent="0.25">
      <c r="A512" s="18"/>
      <c r="B512" s="19" t="s">
        <v>10</v>
      </c>
      <c r="C512" s="28"/>
      <c r="D512" s="21"/>
      <c r="E512" s="20"/>
      <c r="F512" s="21"/>
      <c r="G512" s="20"/>
      <c r="H512" s="21"/>
      <c r="I512" s="238"/>
      <c r="J512" s="168"/>
      <c r="K512" s="178"/>
      <c r="L512" s="168"/>
    </row>
    <row r="513" spans="1:12" s="3" customFormat="1" ht="15" x14ac:dyDescent="0.25">
      <c r="A513" s="18"/>
      <c r="B513" s="19"/>
      <c r="C513" s="28"/>
      <c r="D513" s="21"/>
      <c r="E513" s="20"/>
      <c r="F513" s="21"/>
      <c r="G513" s="20"/>
      <c r="H513" s="21"/>
      <c r="I513" s="238"/>
      <c r="J513" s="168"/>
      <c r="K513" s="178"/>
      <c r="L513" s="168"/>
    </row>
    <row r="514" spans="1:12" s="3" customFormat="1" ht="15" x14ac:dyDescent="0.25">
      <c r="A514" s="18"/>
      <c r="B514" s="19" t="s">
        <v>11</v>
      </c>
      <c r="C514" s="28"/>
      <c r="D514" s="21"/>
      <c r="E514" s="20"/>
      <c r="F514" s="21"/>
      <c r="G514" s="20"/>
      <c r="H514" s="21"/>
      <c r="I514" s="238"/>
      <c r="J514" s="168"/>
      <c r="K514" s="178"/>
      <c r="L514" s="168"/>
    </row>
    <row r="515" spans="1:12" s="3" customFormat="1" ht="15" x14ac:dyDescent="0.25">
      <c r="A515" s="18"/>
      <c r="B515" s="19"/>
      <c r="C515" s="28"/>
      <c r="D515" s="21"/>
      <c r="E515" s="20"/>
      <c r="F515" s="21"/>
      <c r="G515" s="20"/>
      <c r="H515" s="21"/>
      <c r="I515" s="238"/>
      <c r="J515" s="168"/>
      <c r="K515" s="178"/>
      <c r="L515" s="168"/>
    </row>
    <row r="516" spans="1:12" x14ac:dyDescent="0.2">
      <c r="A516" s="5" t="s">
        <v>585</v>
      </c>
      <c r="B516" s="7" t="s">
        <v>13</v>
      </c>
      <c r="C516" s="29">
        <v>148986</v>
      </c>
      <c r="D516" s="11">
        <v>0</v>
      </c>
      <c r="E516" s="9">
        <v>0</v>
      </c>
      <c r="F516" s="11">
        <v>0</v>
      </c>
      <c r="G516" s="9">
        <f>C516-E516-F516</f>
        <v>148986</v>
      </c>
      <c r="H516" s="11">
        <v>0</v>
      </c>
      <c r="I516" s="240">
        <f>LEDP!I11</f>
        <v>0</v>
      </c>
      <c r="J516" s="109">
        <f>LEDP!J11</f>
        <v>148986</v>
      </c>
      <c r="K516" s="229">
        <f>LEDP!K11</f>
        <v>157925.16</v>
      </c>
      <c r="L516" s="109">
        <f>LEDP!L11</f>
        <v>167400.66959999999</v>
      </c>
    </row>
    <row r="517" spans="1:12" x14ac:dyDescent="0.2">
      <c r="A517" s="5" t="s">
        <v>586</v>
      </c>
      <c r="B517" s="7" t="s">
        <v>15</v>
      </c>
      <c r="C517" s="29">
        <v>25057</v>
      </c>
      <c r="D517" s="11">
        <v>0</v>
      </c>
      <c r="E517" s="9">
        <v>0</v>
      </c>
      <c r="F517" s="11">
        <v>0</v>
      </c>
      <c r="G517" s="9">
        <f t="shared" ref="G517:G525" si="200">C517-E517-F517</f>
        <v>25057</v>
      </c>
      <c r="H517" s="11">
        <v>0</v>
      </c>
      <c r="I517" s="240">
        <f>LEDP!I12</f>
        <v>-25057</v>
      </c>
      <c r="J517" s="109">
        <f>LEDP!J12</f>
        <v>0</v>
      </c>
      <c r="K517" s="229">
        <f>LEDP!K12</f>
        <v>0</v>
      </c>
      <c r="L517" s="109">
        <f>LEDP!L12</f>
        <v>0</v>
      </c>
    </row>
    <row r="518" spans="1:12" x14ac:dyDescent="0.2">
      <c r="A518" s="5" t="s">
        <v>587</v>
      </c>
      <c r="B518" s="7" t="s">
        <v>17</v>
      </c>
      <c r="C518" s="29">
        <v>47077</v>
      </c>
      <c r="D518" s="11">
        <v>3923.1</v>
      </c>
      <c r="E518" s="9">
        <v>0</v>
      </c>
      <c r="F518" s="11">
        <v>23538.6</v>
      </c>
      <c r="G518" s="9">
        <f t="shared" si="200"/>
        <v>23538.400000000001</v>
      </c>
      <c r="H518" s="11">
        <v>50</v>
      </c>
      <c r="I518" s="240">
        <f>LEDP!I13</f>
        <v>0</v>
      </c>
      <c r="J518" s="109">
        <f>LEDP!J13</f>
        <v>47077</v>
      </c>
      <c r="K518" s="229">
        <f>LEDP!K13</f>
        <v>49901.62</v>
      </c>
      <c r="L518" s="109">
        <f>LEDP!L13</f>
        <v>52895.717199999999</v>
      </c>
    </row>
    <row r="519" spans="1:12" x14ac:dyDescent="0.2">
      <c r="A519" s="5" t="s">
        <v>588</v>
      </c>
      <c r="B519" s="7" t="s">
        <v>19</v>
      </c>
      <c r="C519" s="29">
        <v>130000</v>
      </c>
      <c r="D519" s="11">
        <v>31263.56</v>
      </c>
      <c r="E519" s="9">
        <v>0</v>
      </c>
      <c r="F519" s="11">
        <v>83428.73</v>
      </c>
      <c r="G519" s="9">
        <f t="shared" si="200"/>
        <v>46571.270000000004</v>
      </c>
      <c r="H519" s="11">
        <v>64.17</v>
      </c>
      <c r="I519" s="240">
        <f>LEDP!I14</f>
        <v>0</v>
      </c>
      <c r="J519" s="109">
        <f>LEDP!J14</f>
        <v>130000</v>
      </c>
      <c r="K519" s="229">
        <f>LEDP!K14</f>
        <v>137800</v>
      </c>
      <c r="L519" s="109">
        <f>LEDP!L14</f>
        <v>146068</v>
      </c>
    </row>
    <row r="520" spans="1:12" x14ac:dyDescent="0.2">
      <c r="A520" s="5" t="s">
        <v>589</v>
      </c>
      <c r="B520" s="7" t="s">
        <v>21</v>
      </c>
      <c r="C520" s="29">
        <v>0</v>
      </c>
      <c r="D520" s="11">
        <v>2932.16</v>
      </c>
      <c r="E520" s="9">
        <v>0</v>
      </c>
      <c r="F520" s="11">
        <v>2932.16</v>
      </c>
      <c r="G520" s="9">
        <f t="shared" si="200"/>
        <v>-2932.16</v>
      </c>
      <c r="H520" s="11">
        <v>0</v>
      </c>
      <c r="I520" s="240">
        <f>LEDP!I15</f>
        <v>6000</v>
      </c>
      <c r="J520" s="162">
        <f t="shared" ref="J520:J525" si="201">C520+I520</f>
        <v>6000</v>
      </c>
      <c r="K520" s="169">
        <f>J520*6/100+J520</f>
        <v>6360</v>
      </c>
      <c r="L520" s="162">
        <f>K520*6/100+K520</f>
        <v>6741.6</v>
      </c>
    </row>
    <row r="521" spans="1:12" x14ac:dyDescent="0.2">
      <c r="A521" s="5" t="s">
        <v>591</v>
      </c>
      <c r="B521" s="7" t="s">
        <v>24</v>
      </c>
      <c r="C521" s="29">
        <v>85704</v>
      </c>
      <c r="D521" s="11">
        <v>5975.23</v>
      </c>
      <c r="E521" s="9">
        <v>0</v>
      </c>
      <c r="F521" s="11">
        <v>35851.379999999997</v>
      </c>
      <c r="G521" s="9">
        <f t="shared" si="200"/>
        <v>49852.62</v>
      </c>
      <c r="H521" s="11">
        <v>41.83</v>
      </c>
      <c r="I521" s="240">
        <f>LEDP!I17</f>
        <v>0</v>
      </c>
      <c r="J521" s="109">
        <f>LEDP!J17</f>
        <v>85704</v>
      </c>
      <c r="K521" s="229">
        <f>LEDP!K17</f>
        <v>90846.24</v>
      </c>
      <c r="L521" s="109">
        <f>LEDP!L17</f>
        <v>96297.0144</v>
      </c>
    </row>
    <row r="522" spans="1:12" x14ac:dyDescent="0.2">
      <c r="A522" s="5" t="s">
        <v>593</v>
      </c>
      <c r="B522" s="7" t="s">
        <v>28</v>
      </c>
      <c r="C522" s="29">
        <v>16362</v>
      </c>
      <c r="D522" s="11">
        <v>0</v>
      </c>
      <c r="E522" s="9">
        <v>0</v>
      </c>
      <c r="F522" s="11">
        <v>0</v>
      </c>
      <c r="G522" s="9">
        <f t="shared" si="200"/>
        <v>16362</v>
      </c>
      <c r="H522" s="11">
        <v>0</v>
      </c>
      <c r="I522" s="240">
        <f>LEDP!I19</f>
        <v>-16362</v>
      </c>
      <c r="J522" s="109">
        <f>LEDP!J19</f>
        <v>0</v>
      </c>
      <c r="K522" s="229">
        <f>LEDP!K19</f>
        <v>0</v>
      </c>
      <c r="L522" s="109">
        <f>LEDP!L19</f>
        <v>0</v>
      </c>
    </row>
    <row r="523" spans="1:12" x14ac:dyDescent="0.2">
      <c r="A523" s="5" t="s">
        <v>594</v>
      </c>
      <c r="B523" s="7" t="s">
        <v>30</v>
      </c>
      <c r="C523" s="29">
        <v>52900</v>
      </c>
      <c r="D523" s="11">
        <v>0</v>
      </c>
      <c r="E523" s="9">
        <v>0</v>
      </c>
      <c r="F523" s="11">
        <v>0</v>
      </c>
      <c r="G523" s="9">
        <f t="shared" si="200"/>
        <v>52900</v>
      </c>
      <c r="H523" s="11">
        <v>0</v>
      </c>
      <c r="I523" s="240">
        <f>LEDP!I20</f>
        <v>0</v>
      </c>
      <c r="J523" s="109">
        <f>LEDP!J20</f>
        <v>52900</v>
      </c>
      <c r="K523" s="229">
        <f>LEDP!K20</f>
        <v>0</v>
      </c>
      <c r="L523" s="109">
        <f>LEDP!L20</f>
        <v>0</v>
      </c>
    </row>
    <row r="524" spans="1:12" x14ac:dyDescent="0.2">
      <c r="A524" s="5" t="s">
        <v>595</v>
      </c>
      <c r="B524" s="7" t="s">
        <v>32</v>
      </c>
      <c r="C524" s="29">
        <v>1787822</v>
      </c>
      <c r="D524" s="11">
        <v>151365.48000000001</v>
      </c>
      <c r="E524" s="9">
        <v>0</v>
      </c>
      <c r="F524" s="11">
        <v>864899.74</v>
      </c>
      <c r="G524" s="9">
        <f t="shared" si="200"/>
        <v>922922.26</v>
      </c>
      <c r="H524" s="11">
        <v>48.37</v>
      </c>
      <c r="I524" s="240">
        <f>LEDP!I21</f>
        <v>0</v>
      </c>
      <c r="J524" s="162">
        <f t="shared" si="201"/>
        <v>1787822</v>
      </c>
      <c r="K524" s="169">
        <f>J524*6/100+J524</f>
        <v>1895091.32</v>
      </c>
      <c r="L524" s="162">
        <f t="shared" ref="L524:L525" si="202">K524*6/100+K524</f>
        <v>2008796.7992</v>
      </c>
    </row>
    <row r="525" spans="1:12" x14ac:dyDescent="0.2">
      <c r="A525" s="5" t="s">
        <v>597</v>
      </c>
      <c r="B525" s="7" t="s">
        <v>36</v>
      </c>
      <c r="C525" s="29">
        <v>392200</v>
      </c>
      <c r="D525" s="11">
        <v>33204.76</v>
      </c>
      <c r="E525" s="9">
        <v>0</v>
      </c>
      <c r="F525" s="11">
        <v>188405.42</v>
      </c>
      <c r="G525" s="9">
        <f t="shared" si="200"/>
        <v>203794.58</v>
      </c>
      <c r="H525" s="11">
        <v>48.03</v>
      </c>
      <c r="I525" s="240">
        <f>LEDP!I23</f>
        <v>0</v>
      </c>
      <c r="J525" s="162">
        <f t="shared" si="201"/>
        <v>392200</v>
      </c>
      <c r="K525" s="169">
        <f>J525*6/100+J525</f>
        <v>415732</v>
      </c>
      <c r="L525" s="162">
        <f t="shared" si="202"/>
        <v>440675.92</v>
      </c>
    </row>
    <row r="526" spans="1:12" x14ac:dyDescent="0.2">
      <c r="A526" s="5"/>
      <c r="B526" s="7"/>
      <c r="C526" s="29"/>
      <c r="D526" s="11"/>
      <c r="E526" s="9"/>
      <c r="F526" s="11"/>
      <c r="G526" s="9"/>
      <c r="H526" s="11"/>
      <c r="I526" s="240"/>
      <c r="J526" s="162"/>
      <c r="K526" s="169"/>
      <c r="L526" s="162"/>
    </row>
    <row r="527" spans="1:12" s="3" customFormat="1" ht="15" x14ac:dyDescent="0.25">
      <c r="A527" s="18"/>
      <c r="B527" s="19" t="s">
        <v>49</v>
      </c>
      <c r="C527" s="28">
        <f>SUM(C516:C526)</f>
        <v>2686108</v>
      </c>
      <c r="D527" s="36">
        <f>SUM(D516:D526)</f>
        <v>228664.29000000004</v>
      </c>
      <c r="E527" s="28">
        <f>SUM(E516:E526)</f>
        <v>0</v>
      </c>
      <c r="F527" s="36">
        <f>SUM(F516:F526)</f>
        <v>1199056.03</v>
      </c>
      <c r="G527" s="28">
        <f>SUM(G516:G526)</f>
        <v>1487051.9700000002</v>
      </c>
      <c r="H527" s="21">
        <v>44.63</v>
      </c>
      <c r="I527" s="243">
        <f>SUM(I516:I526)</f>
        <v>-35419</v>
      </c>
      <c r="J527" s="172">
        <f>SUM(J516:J526)</f>
        <v>2650689</v>
      </c>
      <c r="K527" s="236">
        <f>SUM(K516:K526)</f>
        <v>2753656.34</v>
      </c>
      <c r="L527" s="172">
        <f>SUM(L516:L526)</f>
        <v>2918875.7204</v>
      </c>
    </row>
    <row r="528" spans="1:12" s="3" customFormat="1" ht="15" x14ac:dyDescent="0.25">
      <c r="A528" s="18"/>
      <c r="B528" s="19"/>
      <c r="C528" s="28"/>
      <c r="D528" s="21"/>
      <c r="E528" s="20"/>
      <c r="F528" s="21"/>
      <c r="G528" s="20"/>
      <c r="H528" s="21"/>
      <c r="I528" s="238"/>
      <c r="J528" s="168"/>
      <c r="K528" s="178"/>
      <c r="L528" s="168"/>
    </row>
    <row r="529" spans="1:12" s="3" customFormat="1" ht="15" x14ac:dyDescent="0.25">
      <c r="A529" s="18"/>
      <c r="B529" s="19" t="s">
        <v>50</v>
      </c>
      <c r="C529" s="28"/>
      <c r="D529" s="21"/>
      <c r="E529" s="20"/>
      <c r="F529" s="21"/>
      <c r="G529" s="20"/>
      <c r="H529" s="21"/>
      <c r="I529" s="238"/>
      <c r="J529" s="168"/>
      <c r="K529" s="178"/>
      <c r="L529" s="168"/>
    </row>
    <row r="530" spans="1:12" x14ac:dyDescent="0.2">
      <c r="A530" s="5"/>
      <c r="B530" s="7"/>
      <c r="C530" s="29"/>
      <c r="D530" s="11"/>
      <c r="E530" s="9"/>
      <c r="F530" s="11"/>
      <c r="G530" s="9"/>
      <c r="H530" s="11"/>
      <c r="I530" s="240"/>
      <c r="J530" s="162"/>
      <c r="K530" s="169"/>
      <c r="L530" s="162"/>
    </row>
    <row r="531" spans="1:12" x14ac:dyDescent="0.2">
      <c r="A531" s="5" t="s">
        <v>598</v>
      </c>
      <c r="B531" s="7" t="s">
        <v>53</v>
      </c>
      <c r="C531" s="29">
        <v>457</v>
      </c>
      <c r="D531" s="11">
        <v>36.25</v>
      </c>
      <c r="E531" s="9">
        <v>0</v>
      </c>
      <c r="F531" s="11">
        <v>203</v>
      </c>
      <c r="G531" s="9">
        <f t="shared" ref="G531:G535" si="203">C531-E531-F531</f>
        <v>254</v>
      </c>
      <c r="H531" s="11">
        <v>44.42</v>
      </c>
      <c r="I531" s="240">
        <f>LEDP!I29</f>
        <v>0</v>
      </c>
      <c r="J531" s="109">
        <f>LEDP!J29</f>
        <v>457</v>
      </c>
      <c r="K531" s="229">
        <f>LEDP!K29</f>
        <v>484.42</v>
      </c>
      <c r="L531" s="109">
        <f>LEDP!L29</f>
        <v>513.48519999999996</v>
      </c>
    </row>
    <row r="532" spans="1:12" x14ac:dyDescent="0.2">
      <c r="A532" s="5" t="s">
        <v>599</v>
      </c>
      <c r="B532" s="7" t="s">
        <v>55</v>
      </c>
      <c r="C532" s="29">
        <v>9233</v>
      </c>
      <c r="D532" s="11">
        <v>803.6</v>
      </c>
      <c r="E532" s="9">
        <v>0</v>
      </c>
      <c r="F532" s="11">
        <v>4450.42</v>
      </c>
      <c r="G532" s="9">
        <f t="shared" si="203"/>
        <v>4782.58</v>
      </c>
      <c r="H532" s="11">
        <v>48.2</v>
      </c>
      <c r="I532" s="240">
        <f>LEDP!I30</f>
        <v>0</v>
      </c>
      <c r="J532" s="109">
        <f>LEDP!J30</f>
        <v>9233</v>
      </c>
      <c r="K532" s="229">
        <f>LEDP!K30</f>
        <v>9786.98</v>
      </c>
      <c r="L532" s="109">
        <f>LEDP!L30</f>
        <v>10374.1988</v>
      </c>
    </row>
    <row r="533" spans="1:12" x14ac:dyDescent="0.2">
      <c r="A533" s="5" t="s">
        <v>600</v>
      </c>
      <c r="B533" s="7" t="s">
        <v>57</v>
      </c>
      <c r="C533" s="29">
        <v>167977</v>
      </c>
      <c r="D533" s="11">
        <v>7580.4</v>
      </c>
      <c r="E533" s="9">
        <v>0</v>
      </c>
      <c r="F533" s="11">
        <v>41628.6</v>
      </c>
      <c r="G533" s="9">
        <f t="shared" si="203"/>
        <v>126348.4</v>
      </c>
      <c r="H533" s="11">
        <v>24.78</v>
      </c>
      <c r="I533" s="240">
        <f>LEDP!I31</f>
        <v>0</v>
      </c>
      <c r="J533" s="109">
        <f>LEDP!J31</f>
        <v>167977</v>
      </c>
      <c r="K533" s="229">
        <f>LEDP!K31</f>
        <v>178055.62</v>
      </c>
      <c r="L533" s="109">
        <f>LEDP!L31</f>
        <v>188738.9572</v>
      </c>
    </row>
    <row r="534" spans="1:12" x14ac:dyDescent="0.2">
      <c r="A534" s="5" t="s">
        <v>601</v>
      </c>
      <c r="B534" s="7" t="s">
        <v>59</v>
      </c>
      <c r="C534" s="29">
        <v>377481</v>
      </c>
      <c r="D534" s="11">
        <v>29153.71</v>
      </c>
      <c r="E534" s="9">
        <v>0</v>
      </c>
      <c r="F534" s="11">
        <v>167129.5</v>
      </c>
      <c r="G534" s="9">
        <f t="shared" si="203"/>
        <v>210351.5</v>
      </c>
      <c r="H534" s="11">
        <v>44.27</v>
      </c>
      <c r="I534" s="240">
        <f>LEDP!I32</f>
        <v>0</v>
      </c>
      <c r="J534" s="109">
        <f>LEDP!J32</f>
        <v>377481</v>
      </c>
      <c r="K534" s="229">
        <f>LEDP!K32</f>
        <v>400129.86</v>
      </c>
      <c r="L534" s="109">
        <f>LEDP!L32</f>
        <v>424137.65159999998</v>
      </c>
    </row>
    <row r="535" spans="1:12" x14ac:dyDescent="0.2">
      <c r="A535" s="5" t="s">
        <v>602</v>
      </c>
      <c r="B535" s="7" t="s">
        <v>62</v>
      </c>
      <c r="C535" s="29">
        <v>35756</v>
      </c>
      <c r="D535" s="11">
        <v>2093.75</v>
      </c>
      <c r="E535" s="9">
        <v>0</v>
      </c>
      <c r="F535" s="11">
        <v>11192.06</v>
      </c>
      <c r="G535" s="9">
        <f t="shared" si="203"/>
        <v>24563.940000000002</v>
      </c>
      <c r="H535" s="11">
        <v>31.3</v>
      </c>
      <c r="I535" s="240">
        <f>LEDP!I33</f>
        <v>0</v>
      </c>
      <c r="J535" s="109">
        <f>LEDP!J33</f>
        <v>35756</v>
      </c>
      <c r="K535" s="229">
        <f>LEDP!K33</f>
        <v>37901.360000000001</v>
      </c>
      <c r="L535" s="109">
        <f>LEDP!L33</f>
        <v>40175.441599999998</v>
      </c>
    </row>
    <row r="536" spans="1:12" x14ac:dyDescent="0.2">
      <c r="A536" s="5"/>
      <c r="B536" s="7"/>
      <c r="C536" s="29"/>
      <c r="D536" s="11"/>
      <c r="E536" s="9"/>
      <c r="F536" s="11"/>
      <c r="G536" s="9"/>
      <c r="H536" s="11"/>
      <c r="I536" s="240"/>
      <c r="J536" s="162"/>
      <c r="K536" s="169"/>
      <c r="L536" s="162"/>
    </row>
    <row r="537" spans="1:12" s="3" customFormat="1" ht="15" x14ac:dyDescent="0.25">
      <c r="A537" s="18"/>
      <c r="B537" s="19" t="s">
        <v>63</v>
      </c>
      <c r="C537" s="28">
        <f>SUM(C531:C536)</f>
        <v>590904</v>
      </c>
      <c r="D537" s="36">
        <f t="shared" ref="D537:G537" si="204">SUM(D531:D536)</f>
        <v>39667.71</v>
      </c>
      <c r="E537" s="28">
        <f t="shared" si="204"/>
        <v>0</v>
      </c>
      <c r="F537" s="36">
        <f t="shared" si="204"/>
        <v>224603.58</v>
      </c>
      <c r="G537" s="28">
        <f t="shared" si="204"/>
        <v>366300.42</v>
      </c>
      <c r="H537" s="21">
        <v>38.01</v>
      </c>
      <c r="I537" s="243">
        <f t="shared" ref="I537" si="205">SUM(I531:I536)</f>
        <v>0</v>
      </c>
      <c r="J537" s="172">
        <f t="shared" ref="J537" si="206">SUM(J531:J536)</f>
        <v>590904</v>
      </c>
      <c r="K537" s="236">
        <f t="shared" ref="K537" si="207">SUM(K531:K536)</f>
        <v>626358.24</v>
      </c>
      <c r="L537" s="172">
        <f t="shared" ref="L537" si="208">SUM(L531:L536)</f>
        <v>663939.73439999996</v>
      </c>
    </row>
    <row r="538" spans="1:12" s="3" customFormat="1" ht="15" x14ac:dyDescent="0.25">
      <c r="A538" s="18"/>
      <c r="B538" s="19"/>
      <c r="C538" s="28"/>
      <c r="D538" s="21"/>
      <c r="E538" s="20"/>
      <c r="F538" s="21"/>
      <c r="G538" s="20"/>
      <c r="H538" s="21"/>
      <c r="I538" s="238"/>
      <c r="J538" s="168"/>
      <c r="K538" s="178"/>
      <c r="L538" s="168"/>
    </row>
    <row r="539" spans="1:12" s="3" customFormat="1" ht="15" x14ac:dyDescent="0.25">
      <c r="A539" s="18"/>
      <c r="B539" s="19" t="s">
        <v>73</v>
      </c>
      <c r="C539" s="28">
        <f>C527+C537</f>
        <v>3277012</v>
      </c>
      <c r="D539" s="36">
        <f t="shared" ref="D539:L539" si="209">D527+D537</f>
        <v>268332.00000000006</v>
      </c>
      <c r="E539" s="28">
        <f t="shared" si="209"/>
        <v>0</v>
      </c>
      <c r="F539" s="36">
        <f t="shared" si="209"/>
        <v>1423659.61</v>
      </c>
      <c r="G539" s="28">
        <f t="shared" si="209"/>
        <v>1853352.3900000001</v>
      </c>
      <c r="H539" s="21">
        <v>43.44</v>
      </c>
      <c r="I539" s="243">
        <f t="shared" si="209"/>
        <v>-35419</v>
      </c>
      <c r="J539" s="172">
        <f t="shared" si="209"/>
        <v>3241593</v>
      </c>
      <c r="K539" s="236">
        <f t="shared" si="209"/>
        <v>3380014.58</v>
      </c>
      <c r="L539" s="172">
        <f t="shared" si="209"/>
        <v>3582815.4547999999</v>
      </c>
    </row>
    <row r="540" spans="1:12" s="3" customFormat="1" ht="15" x14ac:dyDescent="0.25">
      <c r="A540" s="18"/>
      <c r="B540" s="19"/>
      <c r="C540" s="28"/>
      <c r="D540" s="21"/>
      <c r="E540" s="20"/>
      <c r="F540" s="21"/>
      <c r="G540" s="20"/>
      <c r="H540" s="21"/>
      <c r="I540" s="238"/>
      <c r="J540" s="168"/>
      <c r="K540" s="178"/>
      <c r="L540" s="168"/>
    </row>
    <row r="541" spans="1:12" s="3" customFormat="1" ht="15" x14ac:dyDescent="0.25">
      <c r="A541" s="18"/>
      <c r="B541" s="19" t="s">
        <v>74</v>
      </c>
      <c r="C541" s="28"/>
      <c r="D541" s="21"/>
      <c r="E541" s="20"/>
      <c r="F541" s="21"/>
      <c r="G541" s="20"/>
      <c r="H541" s="21"/>
      <c r="I541" s="238"/>
      <c r="J541" s="168"/>
      <c r="K541" s="178"/>
      <c r="L541" s="168"/>
    </row>
    <row r="542" spans="1:12" s="3" customFormat="1" ht="15" x14ac:dyDescent="0.25">
      <c r="A542" s="18"/>
      <c r="B542" s="19"/>
      <c r="C542" s="28"/>
      <c r="D542" s="21"/>
      <c r="E542" s="20"/>
      <c r="F542" s="21"/>
      <c r="G542" s="20"/>
      <c r="H542" s="21"/>
      <c r="I542" s="238"/>
      <c r="J542" s="168"/>
      <c r="K542" s="178"/>
      <c r="L542" s="168"/>
    </row>
    <row r="543" spans="1:12" s="3" customFormat="1" ht="15" x14ac:dyDescent="0.25">
      <c r="A543" s="18"/>
      <c r="B543" s="19" t="s">
        <v>75</v>
      </c>
      <c r="C543" s="28"/>
      <c r="D543" s="21"/>
      <c r="E543" s="20"/>
      <c r="F543" s="21"/>
      <c r="G543" s="20"/>
      <c r="H543" s="21"/>
      <c r="I543" s="238"/>
      <c r="J543" s="168"/>
      <c r="K543" s="178"/>
      <c r="L543" s="168"/>
    </row>
    <row r="544" spans="1:12" s="3" customFormat="1" ht="15" x14ac:dyDescent="0.25">
      <c r="A544" s="18"/>
      <c r="B544" s="19"/>
      <c r="C544" s="28"/>
      <c r="D544" s="21"/>
      <c r="E544" s="20"/>
      <c r="F544" s="21"/>
      <c r="G544" s="20"/>
      <c r="H544" s="21"/>
      <c r="I544" s="238"/>
      <c r="J544" s="168"/>
      <c r="K544" s="178"/>
      <c r="L544" s="168"/>
    </row>
    <row r="545" spans="1:13" x14ac:dyDescent="0.2">
      <c r="A545" s="5" t="s">
        <v>603</v>
      </c>
      <c r="B545" s="7" t="s">
        <v>77</v>
      </c>
      <c r="C545" s="29">
        <v>30000</v>
      </c>
      <c r="D545" s="11">
        <v>0</v>
      </c>
      <c r="E545" s="9">
        <v>8154.47</v>
      </c>
      <c r="F545" s="11">
        <v>17941.990000000002</v>
      </c>
      <c r="G545" s="9">
        <f t="shared" ref="G545:G562" si="210">C545-E545-F545</f>
        <v>3903.5399999999972</v>
      </c>
      <c r="H545" s="11">
        <v>59.8</v>
      </c>
      <c r="I545" s="240">
        <f>LEDP!I43</f>
        <v>0</v>
      </c>
      <c r="J545" s="109">
        <f>LEDP!J43</f>
        <v>30000</v>
      </c>
      <c r="K545" s="229">
        <f>LEDP!K43</f>
        <v>31800</v>
      </c>
      <c r="L545" s="109">
        <f>LEDP!L43</f>
        <v>33708</v>
      </c>
    </row>
    <row r="546" spans="1:13" x14ac:dyDescent="0.2">
      <c r="A546" s="5" t="s">
        <v>604</v>
      </c>
      <c r="B546" s="7" t="s">
        <v>91</v>
      </c>
      <c r="C546" s="29">
        <v>400000</v>
      </c>
      <c r="D546" s="11">
        <v>0</v>
      </c>
      <c r="E546" s="9">
        <v>0</v>
      </c>
      <c r="F546" s="11">
        <v>0</v>
      </c>
      <c r="G546" s="9">
        <f t="shared" si="210"/>
        <v>400000</v>
      </c>
      <c r="H546" s="11">
        <v>0</v>
      </c>
      <c r="I546" s="240">
        <f>LEDP!I44</f>
        <v>0</v>
      </c>
      <c r="J546" s="162">
        <f t="shared" ref="J546:J562" si="211">C546+I546</f>
        <v>400000</v>
      </c>
      <c r="K546" s="169">
        <v>0</v>
      </c>
      <c r="L546" s="162">
        <v>0</v>
      </c>
    </row>
    <row r="547" spans="1:13" x14ac:dyDescent="0.2">
      <c r="A547" s="5" t="s">
        <v>605</v>
      </c>
      <c r="B547" s="7" t="s">
        <v>101</v>
      </c>
      <c r="C547" s="29">
        <v>150000</v>
      </c>
      <c r="D547" s="11">
        <v>0</v>
      </c>
      <c r="E547" s="9">
        <v>0</v>
      </c>
      <c r="F547" s="11">
        <v>0</v>
      </c>
      <c r="G547" s="9">
        <f t="shared" si="210"/>
        <v>150000</v>
      </c>
      <c r="H547" s="11">
        <v>0</v>
      </c>
      <c r="I547" s="240">
        <f>LEDP!I45</f>
        <v>0</v>
      </c>
      <c r="J547" s="162">
        <f t="shared" si="211"/>
        <v>150000</v>
      </c>
      <c r="K547" s="169">
        <f>'[2]ALL DEPARTMENTS'!$I$598</f>
        <v>0</v>
      </c>
      <c r="L547" s="162">
        <v>0</v>
      </c>
    </row>
    <row r="548" spans="1:13" s="258" customFormat="1" x14ac:dyDescent="0.2">
      <c r="A548" s="253" t="s">
        <v>608</v>
      </c>
      <c r="B548" s="254" t="s">
        <v>142</v>
      </c>
      <c r="C548" s="255">
        <v>100000</v>
      </c>
      <c r="D548" s="256">
        <v>0</v>
      </c>
      <c r="E548" s="257">
        <v>74500</v>
      </c>
      <c r="F548" s="256">
        <v>0</v>
      </c>
      <c r="G548" s="257">
        <f t="shared" si="210"/>
        <v>25500</v>
      </c>
      <c r="H548" s="256">
        <v>0</v>
      </c>
      <c r="I548" s="32">
        <v>-100000</v>
      </c>
      <c r="J548" s="227">
        <f t="shared" si="211"/>
        <v>0</v>
      </c>
      <c r="K548" s="225">
        <f>J548*6/100+J548</f>
        <v>0</v>
      </c>
      <c r="L548" s="227">
        <f t="shared" ref="L548:L551" si="212">K548*6/100+K548</f>
        <v>0</v>
      </c>
    </row>
    <row r="549" spans="1:13" x14ac:dyDescent="0.2">
      <c r="A549" s="5" t="s">
        <v>609</v>
      </c>
      <c r="B549" s="7" t="s">
        <v>146</v>
      </c>
      <c r="C549" s="29">
        <v>900000</v>
      </c>
      <c r="D549" s="11">
        <v>0</v>
      </c>
      <c r="E549" s="9">
        <v>0</v>
      </c>
      <c r="F549" s="11">
        <v>247043.77</v>
      </c>
      <c r="G549" s="9">
        <f t="shared" si="210"/>
        <v>652956.23</v>
      </c>
      <c r="H549" s="11">
        <v>27.44</v>
      </c>
      <c r="I549" s="240">
        <f>LEDP!I49</f>
        <v>0</v>
      </c>
      <c r="J549" s="162">
        <f t="shared" si="211"/>
        <v>900000</v>
      </c>
      <c r="K549" s="169">
        <f>J549*6/100+J549</f>
        <v>954000</v>
      </c>
      <c r="L549" s="162">
        <f t="shared" si="212"/>
        <v>1011240</v>
      </c>
    </row>
    <row r="550" spans="1:13" x14ac:dyDescent="0.2">
      <c r="A550" s="5" t="s">
        <v>611</v>
      </c>
      <c r="B550" s="7" t="s">
        <v>153</v>
      </c>
      <c r="C550" s="29">
        <v>500000</v>
      </c>
      <c r="D550" s="11">
        <v>0</v>
      </c>
      <c r="E550" s="9">
        <v>0</v>
      </c>
      <c r="F550" s="11">
        <v>0</v>
      </c>
      <c r="G550" s="9">
        <f t="shared" si="210"/>
        <v>500000</v>
      </c>
      <c r="H550" s="11">
        <v>0</v>
      </c>
      <c r="I550" s="240">
        <f>LEDP!I51</f>
        <v>0</v>
      </c>
      <c r="J550" s="162">
        <f t="shared" si="211"/>
        <v>500000</v>
      </c>
      <c r="K550" s="169">
        <v>0</v>
      </c>
      <c r="L550" s="162">
        <v>0</v>
      </c>
    </row>
    <row r="551" spans="1:13" x14ac:dyDescent="0.2">
      <c r="A551" s="5" t="s">
        <v>612</v>
      </c>
      <c r="B551" s="7" t="s">
        <v>155</v>
      </c>
      <c r="C551" s="29">
        <v>350000</v>
      </c>
      <c r="D551" s="11">
        <v>26400</v>
      </c>
      <c r="E551" s="9">
        <v>0</v>
      </c>
      <c r="F551" s="11">
        <v>158400</v>
      </c>
      <c r="G551" s="9">
        <f t="shared" si="210"/>
        <v>191600</v>
      </c>
      <c r="H551" s="11">
        <v>45.25</v>
      </c>
      <c r="I551" s="240">
        <f>LEDP!I52</f>
        <v>86550</v>
      </c>
      <c r="J551" s="162">
        <f t="shared" si="211"/>
        <v>436550</v>
      </c>
      <c r="K551" s="169">
        <f>J551*6/100+J551</f>
        <v>462743</v>
      </c>
      <c r="L551" s="162">
        <f t="shared" si="212"/>
        <v>490507.58</v>
      </c>
    </row>
    <row r="552" spans="1:13" x14ac:dyDescent="0.2">
      <c r="A552" s="5" t="s">
        <v>613</v>
      </c>
      <c r="B552" s="7" t="s">
        <v>157</v>
      </c>
      <c r="C552" s="29">
        <v>350000</v>
      </c>
      <c r="D552" s="11">
        <v>0</v>
      </c>
      <c r="E552" s="9">
        <v>0</v>
      </c>
      <c r="F552" s="11">
        <v>0</v>
      </c>
      <c r="G552" s="9">
        <f t="shared" si="210"/>
        <v>350000</v>
      </c>
      <c r="H552" s="11">
        <v>0</v>
      </c>
      <c r="I552" s="240">
        <f>LEDP!I53</f>
        <v>0</v>
      </c>
      <c r="J552" s="162">
        <f t="shared" si="211"/>
        <v>350000</v>
      </c>
      <c r="K552" s="169">
        <v>0</v>
      </c>
      <c r="L552" s="162">
        <v>0</v>
      </c>
    </row>
    <row r="553" spans="1:13" x14ac:dyDescent="0.2">
      <c r="A553" s="5" t="s">
        <v>614</v>
      </c>
      <c r="B553" s="7" t="s">
        <v>162</v>
      </c>
      <c r="C553" s="29">
        <v>0</v>
      </c>
      <c r="D553" s="11">
        <v>0</v>
      </c>
      <c r="E553" s="9">
        <v>0</v>
      </c>
      <c r="F553" s="11">
        <v>0</v>
      </c>
      <c r="G553" s="9">
        <f t="shared" si="210"/>
        <v>0</v>
      </c>
      <c r="H553" s="11">
        <v>0</v>
      </c>
      <c r="I553" s="240">
        <f>LEDP!I54</f>
        <v>0</v>
      </c>
      <c r="J553" s="162">
        <f t="shared" si="211"/>
        <v>0</v>
      </c>
      <c r="K553" s="169">
        <v>0</v>
      </c>
      <c r="L553" s="162">
        <f>'[2]ALL DEPARTMENTS'!$J$603</f>
        <v>1000000</v>
      </c>
    </row>
    <row r="554" spans="1:13" x14ac:dyDescent="0.2">
      <c r="A554" s="5" t="s">
        <v>615</v>
      </c>
      <c r="B554" s="7" t="s">
        <v>164</v>
      </c>
      <c r="C554" s="29">
        <v>40000</v>
      </c>
      <c r="D554" s="11">
        <v>500</v>
      </c>
      <c r="E554" s="9">
        <v>0</v>
      </c>
      <c r="F554" s="11">
        <v>3370</v>
      </c>
      <c r="G554" s="9">
        <f t="shared" si="210"/>
        <v>36630</v>
      </c>
      <c r="H554" s="11">
        <v>8.42</v>
      </c>
      <c r="I554" s="240">
        <f>LEDP!I55</f>
        <v>0</v>
      </c>
      <c r="J554" s="162">
        <f t="shared" si="211"/>
        <v>40000</v>
      </c>
      <c r="K554" s="169">
        <f>J554*6/100+J554</f>
        <v>42400</v>
      </c>
      <c r="L554" s="162">
        <f t="shared" ref="L554" si="213">K554*6/100+K554</f>
        <v>44944</v>
      </c>
    </row>
    <row r="555" spans="1:13" s="115" customFormat="1" x14ac:dyDescent="0.2">
      <c r="A555" s="110"/>
      <c r="B555" s="111" t="s">
        <v>1028</v>
      </c>
      <c r="C555" s="112">
        <v>0</v>
      </c>
      <c r="D555" s="113">
        <v>0</v>
      </c>
      <c r="E555" s="112">
        <v>0</v>
      </c>
      <c r="F555" s="113">
        <v>0</v>
      </c>
      <c r="G555" s="112">
        <v>0</v>
      </c>
      <c r="H555" s="113">
        <v>0</v>
      </c>
      <c r="I555" s="161">
        <v>0</v>
      </c>
      <c r="J555" s="113">
        <v>0</v>
      </c>
      <c r="K555" s="112">
        <v>0</v>
      </c>
      <c r="L555" s="113">
        <f>'[2]ALL DEPARTMENTS'!$J$605</f>
        <v>1700000</v>
      </c>
      <c r="M555" s="114"/>
    </row>
    <row r="556" spans="1:13" s="115" customFormat="1" x14ac:dyDescent="0.2">
      <c r="A556" s="110"/>
      <c r="B556" s="111" t="s">
        <v>1029</v>
      </c>
      <c r="C556" s="112">
        <v>0</v>
      </c>
      <c r="D556" s="113">
        <v>0</v>
      </c>
      <c r="E556" s="112">
        <v>0</v>
      </c>
      <c r="F556" s="113">
        <v>0</v>
      </c>
      <c r="G556" s="112">
        <v>0</v>
      </c>
      <c r="H556" s="113">
        <v>0</v>
      </c>
      <c r="I556" s="161">
        <v>0</v>
      </c>
      <c r="J556" s="113">
        <v>0</v>
      </c>
      <c r="K556" s="112">
        <v>0</v>
      </c>
      <c r="L556" s="113">
        <f>'[2]ALL DEPARTMENTS'!$J$606</f>
        <v>400000</v>
      </c>
      <c r="M556" s="114"/>
    </row>
    <row r="557" spans="1:13" x14ac:dyDescent="0.2">
      <c r="A557" s="5" t="s">
        <v>616</v>
      </c>
      <c r="B557" s="7" t="s">
        <v>217</v>
      </c>
      <c r="C557" s="29">
        <v>2000</v>
      </c>
      <c r="D557" s="11">
        <v>0</v>
      </c>
      <c r="E557" s="9">
        <v>0</v>
      </c>
      <c r="F557" s="11">
        <v>466.6</v>
      </c>
      <c r="G557" s="9">
        <f t="shared" si="210"/>
        <v>1533.4</v>
      </c>
      <c r="H557" s="11">
        <v>23.33</v>
      </c>
      <c r="I557" s="240">
        <f>LEDP!I56</f>
        <v>0</v>
      </c>
      <c r="J557" s="162">
        <f t="shared" si="211"/>
        <v>2000</v>
      </c>
      <c r="K557" s="169">
        <f>J557*6/100+J557</f>
        <v>2120</v>
      </c>
      <c r="L557" s="162">
        <f t="shared" ref="L557" si="214">K557*6/100+K557</f>
        <v>2247.1999999999998</v>
      </c>
    </row>
    <row r="558" spans="1:13" x14ac:dyDescent="0.2">
      <c r="A558" s="5" t="s">
        <v>617</v>
      </c>
      <c r="B558" s="7" t="s">
        <v>226</v>
      </c>
      <c r="C558" s="29">
        <v>120000</v>
      </c>
      <c r="D558" s="11">
        <v>66999.399999999994</v>
      </c>
      <c r="E558" s="9">
        <v>0</v>
      </c>
      <c r="F558" s="11">
        <v>81699.399999999994</v>
      </c>
      <c r="G558" s="9">
        <f t="shared" si="210"/>
        <v>38300.600000000006</v>
      </c>
      <c r="H558" s="11">
        <v>68.08</v>
      </c>
      <c r="I558" s="240">
        <f>LEDP!I57</f>
        <v>0</v>
      </c>
      <c r="J558" s="162">
        <f t="shared" si="211"/>
        <v>120000</v>
      </c>
      <c r="K558" s="169">
        <f>J558*6/100+J558</f>
        <v>127200</v>
      </c>
      <c r="L558" s="162">
        <f t="shared" ref="L558" si="215">K558*6/100+K558</f>
        <v>134832</v>
      </c>
    </row>
    <row r="559" spans="1:13" s="115" customFormat="1" x14ac:dyDescent="0.2">
      <c r="A559" s="110"/>
      <c r="B559" s="111" t="s">
        <v>1030</v>
      </c>
      <c r="C559" s="112"/>
      <c r="D559" s="113"/>
      <c r="E559" s="112"/>
      <c r="F559" s="113"/>
      <c r="G559" s="112"/>
      <c r="H559" s="113">
        <v>0</v>
      </c>
      <c r="I559" s="161">
        <v>0</v>
      </c>
      <c r="J559" s="162">
        <f t="shared" si="211"/>
        <v>0</v>
      </c>
      <c r="K559" s="112">
        <v>0</v>
      </c>
      <c r="L559" s="113">
        <v>0</v>
      </c>
      <c r="M559" s="114"/>
    </row>
    <row r="560" spans="1:13" s="318" customFormat="1" x14ac:dyDescent="0.2">
      <c r="A560" s="312"/>
      <c r="B560" s="313" t="s">
        <v>470</v>
      </c>
      <c r="C560" s="314">
        <v>0</v>
      </c>
      <c r="D560" s="315">
        <v>0</v>
      </c>
      <c r="E560" s="314">
        <v>0</v>
      </c>
      <c r="F560" s="315">
        <v>0</v>
      </c>
      <c r="G560" s="314">
        <v>0</v>
      </c>
      <c r="H560" s="315"/>
      <c r="I560" s="316">
        <f>LEDP!I60</f>
        <v>500000</v>
      </c>
      <c r="J560" s="109">
        <f t="shared" si="211"/>
        <v>500000</v>
      </c>
      <c r="K560" s="314"/>
      <c r="L560" s="315"/>
      <c r="M560" s="317"/>
    </row>
    <row r="561" spans="1:12" x14ac:dyDescent="0.2">
      <c r="A561" s="5" t="s">
        <v>618</v>
      </c>
      <c r="B561" s="7" t="s">
        <v>258</v>
      </c>
      <c r="C561" s="29">
        <v>200000</v>
      </c>
      <c r="D561" s="11">
        <v>0</v>
      </c>
      <c r="E561" s="9">
        <v>179000</v>
      </c>
      <c r="F561" s="11">
        <v>0</v>
      </c>
      <c r="G561" s="9">
        <f t="shared" si="210"/>
        <v>21000</v>
      </c>
      <c r="H561" s="11">
        <v>0</v>
      </c>
      <c r="I561" s="240">
        <f>LEDP!I58</f>
        <v>0</v>
      </c>
      <c r="J561" s="162">
        <f t="shared" si="211"/>
        <v>200000</v>
      </c>
      <c r="K561" s="169">
        <f>J561*6/100+J561</f>
        <v>212000</v>
      </c>
      <c r="L561" s="162">
        <f t="shared" ref="L561" si="216">K561*6/100+K561</f>
        <v>224720</v>
      </c>
    </row>
    <row r="562" spans="1:12" x14ac:dyDescent="0.2">
      <c r="A562" s="5" t="s">
        <v>619</v>
      </c>
      <c r="B562" s="7" t="s">
        <v>262</v>
      </c>
      <c r="C562" s="29">
        <v>15000</v>
      </c>
      <c r="D562" s="11">
        <v>0</v>
      </c>
      <c r="E562" s="9">
        <v>0</v>
      </c>
      <c r="F562" s="11">
        <v>0</v>
      </c>
      <c r="G562" s="9">
        <f t="shared" si="210"/>
        <v>15000</v>
      </c>
      <c r="H562" s="11">
        <v>0</v>
      </c>
      <c r="I562" s="240">
        <f>LEDP!I59</f>
        <v>0</v>
      </c>
      <c r="J562" s="162">
        <f t="shared" si="211"/>
        <v>15000</v>
      </c>
      <c r="K562" s="169">
        <f>J562*6/100+J562</f>
        <v>15900</v>
      </c>
      <c r="L562" s="162">
        <f t="shared" ref="L562" si="217">K562*6/100+K562</f>
        <v>16854</v>
      </c>
    </row>
    <row r="563" spans="1:12" x14ac:dyDescent="0.2">
      <c r="A563" s="5"/>
      <c r="B563" s="7"/>
      <c r="C563" s="29"/>
      <c r="D563" s="11"/>
      <c r="E563" s="9"/>
      <c r="F563" s="11"/>
      <c r="G563" s="9"/>
      <c r="H563" s="11"/>
      <c r="I563" s="240"/>
      <c r="J563" s="162"/>
      <c r="K563" s="169"/>
      <c r="L563" s="162"/>
    </row>
    <row r="564" spans="1:12" s="3" customFormat="1" ht="15" x14ac:dyDescent="0.25">
      <c r="A564" s="18"/>
      <c r="B564" s="19" t="s">
        <v>287</v>
      </c>
      <c r="C564" s="28">
        <f>SUM(C545:C563)</f>
        <v>3157000</v>
      </c>
      <c r="D564" s="36">
        <f>SUM(D545:D563)</f>
        <v>93899.4</v>
      </c>
      <c r="E564" s="28">
        <f>SUM(E545:E563)</f>
        <v>261654.47</v>
      </c>
      <c r="F564" s="36">
        <f>SUM(F545:F563)</f>
        <v>508921.76</v>
      </c>
      <c r="G564" s="28">
        <f>SUM(G545:G563)</f>
        <v>2386423.77</v>
      </c>
      <c r="H564" s="21">
        <v>16.12</v>
      </c>
      <c r="I564" s="243">
        <f>SUM(I545:I563)</f>
        <v>486550</v>
      </c>
      <c r="J564" s="172">
        <f>SUM(J545:J563)</f>
        <v>3643550</v>
      </c>
      <c r="K564" s="236">
        <f>SUM(K545:K563)</f>
        <v>1848163</v>
      </c>
      <c r="L564" s="172">
        <f>SUM(L545:L563)</f>
        <v>5059052.78</v>
      </c>
    </row>
    <row r="565" spans="1:12" s="3" customFormat="1" ht="15" x14ac:dyDescent="0.25">
      <c r="A565" s="18"/>
      <c r="B565" s="19"/>
      <c r="C565" s="28"/>
      <c r="D565" s="21"/>
      <c r="E565" s="20"/>
      <c r="F565" s="21"/>
      <c r="G565" s="20"/>
      <c r="H565" s="21"/>
      <c r="I565" s="238"/>
      <c r="J565" s="168"/>
      <c r="K565" s="178"/>
      <c r="L565" s="168"/>
    </row>
    <row r="566" spans="1:12" s="3" customFormat="1" ht="15" x14ac:dyDescent="0.25">
      <c r="A566" s="18"/>
      <c r="B566" s="19" t="s">
        <v>292</v>
      </c>
      <c r="C566" s="28">
        <f>C564</f>
        <v>3157000</v>
      </c>
      <c r="D566" s="36">
        <f t="shared" ref="D566:L566" si="218">D564</f>
        <v>93899.4</v>
      </c>
      <c r="E566" s="28">
        <f t="shared" si="218"/>
        <v>261654.47</v>
      </c>
      <c r="F566" s="36">
        <f t="shared" si="218"/>
        <v>508921.76</v>
      </c>
      <c r="G566" s="28">
        <f t="shared" si="218"/>
        <v>2386423.77</v>
      </c>
      <c r="H566" s="21">
        <v>16.12</v>
      </c>
      <c r="I566" s="243">
        <f t="shared" si="218"/>
        <v>486550</v>
      </c>
      <c r="J566" s="172">
        <f t="shared" si="218"/>
        <v>3643550</v>
      </c>
      <c r="K566" s="236">
        <f t="shared" si="218"/>
        <v>1848163</v>
      </c>
      <c r="L566" s="172">
        <f t="shared" si="218"/>
        <v>5059052.78</v>
      </c>
    </row>
    <row r="567" spans="1:12" s="3" customFormat="1" ht="15" x14ac:dyDescent="0.25">
      <c r="A567" s="18"/>
      <c r="B567" s="19"/>
      <c r="C567" s="28"/>
      <c r="D567" s="21"/>
      <c r="E567" s="20"/>
      <c r="F567" s="21"/>
      <c r="G567" s="20"/>
      <c r="H567" s="21"/>
      <c r="I567" s="238"/>
      <c r="J567" s="168"/>
      <c r="K567" s="178"/>
      <c r="L567" s="168"/>
    </row>
    <row r="568" spans="1:12" s="3" customFormat="1" ht="15" x14ac:dyDescent="0.25">
      <c r="A568" s="18"/>
      <c r="B568" s="19" t="s">
        <v>338</v>
      </c>
      <c r="C568" s="28">
        <f>C539+C566</f>
        <v>6434012</v>
      </c>
      <c r="D568" s="36">
        <f>D539+D566</f>
        <v>362231.4</v>
      </c>
      <c r="E568" s="28">
        <f>E539+E566</f>
        <v>261654.47</v>
      </c>
      <c r="F568" s="36">
        <f>F539+F566</f>
        <v>1932581.37</v>
      </c>
      <c r="G568" s="28">
        <f>G539+G566</f>
        <v>4239776.16</v>
      </c>
      <c r="H568" s="21">
        <v>30.03</v>
      </c>
      <c r="I568" s="243">
        <f>I539+I566</f>
        <v>451131</v>
      </c>
      <c r="J568" s="172">
        <f>J539+J566</f>
        <v>6885143</v>
      </c>
      <c r="K568" s="236">
        <f>K539+K566</f>
        <v>5228177.58</v>
      </c>
      <c r="L568" s="172">
        <f>L539+L566</f>
        <v>8641868.2347999997</v>
      </c>
    </row>
    <row r="569" spans="1:12" s="3" customFormat="1" ht="15" x14ac:dyDescent="0.25">
      <c r="A569" s="18"/>
      <c r="B569" s="19"/>
      <c r="C569" s="28"/>
      <c r="D569" s="21"/>
      <c r="E569" s="20"/>
      <c r="F569" s="21"/>
      <c r="G569" s="20"/>
      <c r="H569" s="21"/>
      <c r="I569" s="238"/>
      <c r="J569" s="168"/>
      <c r="K569" s="178"/>
      <c r="L569" s="168"/>
    </row>
    <row r="570" spans="1:12" s="3" customFormat="1" ht="15" x14ac:dyDescent="0.25">
      <c r="A570" s="18"/>
      <c r="B570" s="19" t="s">
        <v>339</v>
      </c>
      <c r="C570" s="28">
        <f>C568</f>
        <v>6434012</v>
      </c>
      <c r="D570" s="36">
        <f t="shared" ref="D570:G570" si="219">D568</f>
        <v>362231.4</v>
      </c>
      <c r="E570" s="28">
        <f t="shared" si="219"/>
        <v>261654.47</v>
      </c>
      <c r="F570" s="36">
        <f t="shared" si="219"/>
        <v>1932581.37</v>
      </c>
      <c r="G570" s="28">
        <f t="shared" si="219"/>
        <v>4239776.16</v>
      </c>
      <c r="H570" s="21">
        <v>30.03</v>
      </c>
      <c r="I570" s="243">
        <f t="shared" ref="I570:L570" si="220">I568</f>
        <v>451131</v>
      </c>
      <c r="J570" s="172">
        <f t="shared" si="220"/>
        <v>6885143</v>
      </c>
      <c r="K570" s="236">
        <f t="shared" si="220"/>
        <v>5228177.58</v>
      </c>
      <c r="L570" s="172">
        <f t="shared" si="220"/>
        <v>8641868.2347999997</v>
      </c>
    </row>
    <row r="571" spans="1:12" s="3" customFormat="1" ht="15" x14ac:dyDescent="0.25">
      <c r="A571" s="18"/>
      <c r="B571" s="19"/>
      <c r="C571" s="28"/>
      <c r="D571" s="21"/>
      <c r="E571" s="20"/>
      <c r="F571" s="21"/>
      <c r="G571" s="20"/>
      <c r="H571" s="21"/>
      <c r="I571" s="238"/>
      <c r="J571" s="168"/>
      <c r="K571" s="178"/>
      <c r="L571" s="168"/>
    </row>
    <row r="572" spans="1:12" s="3" customFormat="1" ht="15" x14ac:dyDescent="0.25">
      <c r="A572" s="18"/>
      <c r="B572" s="19" t="s">
        <v>340</v>
      </c>
      <c r="C572" s="28"/>
      <c r="D572" s="21"/>
      <c r="E572" s="20"/>
      <c r="F572" s="21"/>
      <c r="G572" s="20"/>
      <c r="H572" s="21"/>
      <c r="I572" s="238"/>
      <c r="J572" s="168"/>
      <c r="K572" s="178"/>
      <c r="L572" s="168"/>
    </row>
    <row r="573" spans="1:12" s="3" customFormat="1" ht="15" x14ac:dyDescent="0.25">
      <c r="A573" s="18"/>
      <c r="B573" s="19"/>
      <c r="C573" s="28"/>
      <c r="D573" s="21"/>
      <c r="E573" s="20"/>
      <c r="F573" s="21"/>
      <c r="G573" s="20"/>
      <c r="H573" s="21"/>
      <c r="I573" s="238"/>
      <c r="J573" s="168"/>
      <c r="K573" s="178"/>
      <c r="L573" s="168"/>
    </row>
    <row r="574" spans="1:12" s="3" customFormat="1" ht="15" x14ac:dyDescent="0.25">
      <c r="A574" s="18"/>
      <c r="B574" s="19" t="s">
        <v>353</v>
      </c>
      <c r="C574" s="28"/>
      <c r="D574" s="21"/>
      <c r="E574" s="20"/>
      <c r="F574" s="21"/>
      <c r="G574" s="20"/>
      <c r="H574" s="21"/>
      <c r="I574" s="238"/>
      <c r="J574" s="168"/>
      <c r="K574" s="178"/>
      <c r="L574" s="168"/>
    </row>
    <row r="575" spans="1:12" s="3" customFormat="1" ht="15" x14ac:dyDescent="0.25">
      <c r="A575" s="18"/>
      <c r="B575" s="19"/>
      <c r="C575" s="28"/>
      <c r="D575" s="21"/>
      <c r="E575" s="20"/>
      <c r="F575" s="21"/>
      <c r="G575" s="20"/>
      <c r="H575" s="21"/>
      <c r="I575" s="238"/>
      <c r="J575" s="168"/>
      <c r="K575" s="178"/>
      <c r="L575" s="168"/>
    </row>
    <row r="576" spans="1:12" x14ac:dyDescent="0.2">
      <c r="A576" s="5" t="s">
        <v>620</v>
      </c>
      <c r="B576" s="7" t="s">
        <v>355</v>
      </c>
      <c r="C576" s="29">
        <v>-400000</v>
      </c>
      <c r="D576" s="11">
        <v>0</v>
      </c>
      <c r="E576" s="9">
        <v>0</v>
      </c>
      <c r="F576" s="11">
        <v>0</v>
      </c>
      <c r="G576" s="9">
        <v>-400000</v>
      </c>
      <c r="H576" s="11">
        <v>0</v>
      </c>
      <c r="I576" s="240">
        <f>LEDP!I74</f>
        <v>0</v>
      </c>
      <c r="J576" s="162">
        <f t="shared" ref="J576" si="221">C576+I576</f>
        <v>-400000</v>
      </c>
      <c r="K576" s="169">
        <v>0</v>
      </c>
      <c r="L576" s="162">
        <v>0</v>
      </c>
    </row>
    <row r="577" spans="1:12" x14ac:dyDescent="0.2">
      <c r="A577" s="5"/>
      <c r="B577" s="7"/>
      <c r="C577" s="29"/>
      <c r="D577" s="11"/>
      <c r="E577" s="9"/>
      <c r="F577" s="11"/>
      <c r="G577" s="9"/>
      <c r="H577" s="11"/>
      <c r="I577" s="240"/>
      <c r="J577" s="162"/>
      <c r="K577" s="169"/>
      <c r="L577" s="162"/>
    </row>
    <row r="578" spans="1:12" s="3" customFormat="1" ht="15" x14ac:dyDescent="0.25">
      <c r="A578" s="18"/>
      <c r="B578" s="19" t="s">
        <v>360</v>
      </c>
      <c r="C578" s="28">
        <f>SUM(C576:C577)</f>
        <v>-400000</v>
      </c>
      <c r="D578" s="36">
        <f>SUM(D576:D577)</f>
        <v>0</v>
      </c>
      <c r="E578" s="28">
        <f>SUM(E576:E577)</f>
        <v>0</v>
      </c>
      <c r="F578" s="36">
        <f>SUM(F576:F577)</f>
        <v>0</v>
      </c>
      <c r="G578" s="28">
        <f>SUM(G576:G577)</f>
        <v>-400000</v>
      </c>
      <c r="H578" s="21">
        <v>0</v>
      </c>
      <c r="I578" s="243">
        <f>SUM(I576:I577)</f>
        <v>0</v>
      </c>
      <c r="J578" s="172">
        <f>SUM(J576:J577)</f>
        <v>-400000</v>
      </c>
      <c r="K578" s="236">
        <f>SUM(K576:K577)</f>
        <v>0</v>
      </c>
      <c r="L578" s="172">
        <f>SUM(L576:L577)</f>
        <v>0</v>
      </c>
    </row>
    <row r="579" spans="1:12" s="3" customFormat="1" ht="15" x14ac:dyDescent="0.25">
      <c r="A579" s="18"/>
      <c r="B579" s="19"/>
      <c r="C579" s="28"/>
      <c r="D579" s="21"/>
      <c r="E579" s="20"/>
      <c r="F579" s="21"/>
      <c r="G579" s="20"/>
      <c r="H579" s="21"/>
      <c r="I579" s="238"/>
      <c r="J579" s="168"/>
      <c r="K579" s="178"/>
      <c r="L579" s="168"/>
    </row>
    <row r="580" spans="1:12" s="3" customFormat="1" ht="15" x14ac:dyDescent="0.25">
      <c r="A580" s="18"/>
      <c r="B580" s="19" t="s">
        <v>375</v>
      </c>
      <c r="C580" s="28"/>
      <c r="D580" s="21"/>
      <c r="E580" s="20"/>
      <c r="F580" s="21"/>
      <c r="G580" s="20"/>
      <c r="H580" s="21"/>
      <c r="I580" s="238"/>
      <c r="J580" s="168"/>
      <c r="K580" s="178"/>
      <c r="L580" s="168"/>
    </row>
    <row r="581" spans="1:12" s="3" customFormat="1" ht="15" x14ac:dyDescent="0.25">
      <c r="A581" s="18"/>
      <c r="B581" s="19"/>
      <c r="C581" s="28"/>
      <c r="D581" s="21"/>
      <c r="E581" s="20"/>
      <c r="F581" s="21"/>
      <c r="G581" s="20"/>
      <c r="H581" s="21"/>
      <c r="I581" s="238"/>
      <c r="J581" s="168"/>
      <c r="K581" s="178"/>
      <c r="L581" s="168"/>
    </row>
    <row r="582" spans="1:12" x14ac:dyDescent="0.2">
      <c r="A582" s="5" t="s">
        <v>622</v>
      </c>
      <c r="B582" s="7" t="s">
        <v>379</v>
      </c>
      <c r="C582" s="29">
        <v>-30392</v>
      </c>
      <c r="D582" s="11">
        <v>-15102.66</v>
      </c>
      <c r="E582" s="9">
        <v>0</v>
      </c>
      <c r="F582" s="11">
        <v>-29519.45</v>
      </c>
      <c r="G582" s="9">
        <v>-872.55</v>
      </c>
      <c r="H582" s="11">
        <v>97.12</v>
      </c>
      <c r="I582" s="240">
        <f>LEDP!I81</f>
        <v>-30480.55</v>
      </c>
      <c r="J582" s="162">
        <f t="shared" ref="J582" si="222">C582+I582</f>
        <v>-60872.55</v>
      </c>
      <c r="K582" s="169">
        <f>J582*6/100+J582</f>
        <v>-64524.903000000006</v>
      </c>
      <c r="L582" s="162">
        <f t="shared" ref="L582" si="223">K582*6/100+K582</f>
        <v>-68396.39718</v>
      </c>
    </row>
    <row r="583" spans="1:12" x14ac:dyDescent="0.2">
      <c r="A583" s="5"/>
      <c r="B583" s="7"/>
      <c r="C583" s="29"/>
      <c r="D583" s="11"/>
      <c r="E583" s="9"/>
      <c r="F583" s="11"/>
      <c r="G583" s="9"/>
      <c r="H583" s="11"/>
      <c r="I583" s="240"/>
      <c r="J583" s="162"/>
      <c r="K583" s="169"/>
      <c r="L583" s="162"/>
    </row>
    <row r="584" spans="1:12" s="3" customFormat="1" ht="15" x14ac:dyDescent="0.25">
      <c r="A584" s="18"/>
      <c r="B584" s="19" t="s">
        <v>380</v>
      </c>
      <c r="C584" s="28">
        <f>SUM(C582:C583)</f>
        <v>-30392</v>
      </c>
      <c r="D584" s="36">
        <f t="shared" ref="D584:G584" si="224">SUM(D582:D583)</f>
        <v>-15102.66</v>
      </c>
      <c r="E584" s="28">
        <f t="shared" si="224"/>
        <v>0</v>
      </c>
      <c r="F584" s="36">
        <f t="shared" si="224"/>
        <v>-29519.45</v>
      </c>
      <c r="G584" s="28">
        <f t="shared" si="224"/>
        <v>-872.55</v>
      </c>
      <c r="H584" s="21">
        <v>97.12</v>
      </c>
      <c r="I584" s="243">
        <f t="shared" ref="I584" si="225">SUM(I582:I583)</f>
        <v>-30480.55</v>
      </c>
      <c r="J584" s="172">
        <f t="shared" ref="J584" si="226">SUM(J582:J583)</f>
        <v>-60872.55</v>
      </c>
      <c r="K584" s="236">
        <f t="shared" ref="K584" si="227">SUM(K582:K583)</f>
        <v>-64524.903000000006</v>
      </c>
      <c r="L584" s="172">
        <f t="shared" ref="L584" si="228">SUM(L582:L583)</f>
        <v>-68396.39718</v>
      </c>
    </row>
    <row r="585" spans="1:12" s="3" customFormat="1" ht="15" x14ac:dyDescent="0.25">
      <c r="A585" s="18"/>
      <c r="B585" s="19"/>
      <c r="C585" s="28"/>
      <c r="D585" s="21"/>
      <c r="E585" s="20"/>
      <c r="F585" s="21"/>
      <c r="G585" s="20"/>
      <c r="H585" s="21"/>
      <c r="I585" s="238"/>
      <c r="J585" s="168"/>
      <c r="K585" s="178"/>
      <c r="L585" s="168"/>
    </row>
    <row r="586" spans="1:12" s="3" customFormat="1" ht="15" x14ac:dyDescent="0.25">
      <c r="A586" s="18"/>
      <c r="B586" s="19" t="s">
        <v>381</v>
      </c>
      <c r="C586" s="28"/>
      <c r="D586" s="21"/>
      <c r="E586" s="20"/>
      <c r="F586" s="21"/>
      <c r="G586" s="20"/>
      <c r="H586" s="21"/>
      <c r="I586" s="238"/>
      <c r="J586" s="168"/>
      <c r="K586" s="178"/>
      <c r="L586" s="168"/>
    </row>
    <row r="587" spans="1:12" s="323" customFormat="1" x14ac:dyDescent="0.2">
      <c r="A587" s="319" t="s">
        <v>623</v>
      </c>
      <c r="B587" s="320" t="s">
        <v>383</v>
      </c>
      <c r="C587" s="321">
        <v>-2492</v>
      </c>
      <c r="D587" s="322">
        <v>0</v>
      </c>
      <c r="E587" s="241">
        <v>0</v>
      </c>
      <c r="F587" s="322">
        <v>0</v>
      </c>
      <c r="G587" s="241">
        <v>-2492</v>
      </c>
      <c r="H587" s="322">
        <v>0</v>
      </c>
      <c r="I587" s="240">
        <f>LEDP!I86</f>
        <v>-1200</v>
      </c>
      <c r="J587" s="109">
        <f t="shared" ref="J587:J592" si="229">C587+I587</f>
        <v>-3692</v>
      </c>
      <c r="K587" s="229">
        <f>J587*6/100+J587</f>
        <v>-3913.52</v>
      </c>
      <c r="L587" s="109">
        <f t="shared" ref="L587:L589" si="230">K587*6/100+K587</f>
        <v>-4148.3311999999996</v>
      </c>
    </row>
    <row r="588" spans="1:12" x14ac:dyDescent="0.2">
      <c r="A588" s="5" t="s">
        <v>624</v>
      </c>
      <c r="B588" s="7" t="s">
        <v>387</v>
      </c>
      <c r="C588" s="29">
        <v>-59616</v>
      </c>
      <c r="D588" s="11">
        <v>-1387.96</v>
      </c>
      <c r="E588" s="9">
        <v>0</v>
      </c>
      <c r="F588" s="11">
        <v>-7679.59</v>
      </c>
      <c r="G588" s="9">
        <v>-51936.41</v>
      </c>
      <c r="H588" s="11">
        <v>12.88</v>
      </c>
      <c r="I588" s="240">
        <f>LEDP!I87</f>
        <v>44256.82</v>
      </c>
      <c r="J588" s="162">
        <f t="shared" si="229"/>
        <v>-15359.18</v>
      </c>
      <c r="K588" s="169">
        <f>J588*6/100+J588</f>
        <v>-16280.730800000001</v>
      </c>
      <c r="L588" s="162">
        <f t="shared" si="230"/>
        <v>-17257.574648000002</v>
      </c>
    </row>
    <row r="589" spans="1:12" x14ac:dyDescent="0.2">
      <c r="A589" s="5" t="s">
        <v>626</v>
      </c>
      <c r="B589" s="7" t="s">
        <v>389</v>
      </c>
      <c r="C589" s="29">
        <v>-36781</v>
      </c>
      <c r="D589" s="11">
        <v>-120.09</v>
      </c>
      <c r="E589" s="9">
        <v>0</v>
      </c>
      <c r="F589" s="11">
        <v>-4162.96</v>
      </c>
      <c r="G589" s="9">
        <v>-32618.04</v>
      </c>
      <c r="H589" s="11">
        <v>11.31</v>
      </c>
      <c r="I589" s="240">
        <f>LEDP!I89</f>
        <v>45106.92</v>
      </c>
      <c r="J589" s="162">
        <f t="shared" si="229"/>
        <v>8325.9199999999983</v>
      </c>
      <c r="K589" s="169">
        <f>J589*6/100+J589</f>
        <v>8825.4751999999989</v>
      </c>
      <c r="L589" s="162">
        <f t="shared" si="230"/>
        <v>9355.0037119999979</v>
      </c>
    </row>
    <row r="590" spans="1:12" x14ac:dyDescent="0.2">
      <c r="A590" s="5" t="s">
        <v>627</v>
      </c>
      <c r="B590" s="7" t="s">
        <v>407</v>
      </c>
      <c r="C590" s="29">
        <v>0</v>
      </c>
      <c r="D590" s="11">
        <v>0</v>
      </c>
      <c r="E590" s="9">
        <v>0</v>
      </c>
      <c r="F590" s="11">
        <v>0</v>
      </c>
      <c r="G590" s="9">
        <v>0</v>
      </c>
      <c r="H590" s="11">
        <v>0</v>
      </c>
      <c r="I590" s="240">
        <f>LEDP!I90</f>
        <v>0</v>
      </c>
      <c r="J590" s="162">
        <f t="shared" si="229"/>
        <v>0</v>
      </c>
      <c r="K590" s="169">
        <f>'[2]ALL DEPARTMENTS'!$I$636</f>
        <v>-2000000</v>
      </c>
      <c r="L590" s="162">
        <f>'[2]ALL DEPARTMENTS'!$J$636</f>
        <v>-3550000</v>
      </c>
    </row>
    <row r="591" spans="1:12" x14ac:dyDescent="0.2">
      <c r="A591" s="5" t="s">
        <v>628</v>
      </c>
      <c r="B591" s="7" t="s">
        <v>411</v>
      </c>
      <c r="C591" s="29">
        <v>0</v>
      </c>
      <c r="D591" s="11">
        <v>0</v>
      </c>
      <c r="E591" s="9">
        <v>0</v>
      </c>
      <c r="F591" s="11">
        <v>0</v>
      </c>
      <c r="G591" s="9">
        <v>0</v>
      </c>
      <c r="H591" s="11">
        <v>0</v>
      </c>
      <c r="I591" s="240">
        <f>LEDP!I91</f>
        <v>0</v>
      </c>
      <c r="J591" s="162">
        <f t="shared" si="229"/>
        <v>0</v>
      </c>
      <c r="K591" s="169"/>
      <c r="L591" s="162"/>
    </row>
    <row r="592" spans="1:12" x14ac:dyDescent="0.2">
      <c r="A592" s="5" t="s">
        <v>629</v>
      </c>
      <c r="B592" s="7" t="s">
        <v>416</v>
      </c>
      <c r="C592" s="29">
        <v>-22260</v>
      </c>
      <c r="D592" s="11">
        <v>0</v>
      </c>
      <c r="E592" s="9">
        <v>0</v>
      </c>
      <c r="F592" s="11">
        <v>-12003.86</v>
      </c>
      <c r="G592" s="9">
        <v>-10256.14</v>
      </c>
      <c r="H592" s="11">
        <v>53.92</v>
      </c>
      <c r="I592" s="240">
        <f>LEDP!I92</f>
        <v>0</v>
      </c>
      <c r="J592" s="162">
        <f t="shared" si="229"/>
        <v>-22260</v>
      </c>
      <c r="K592" s="169">
        <f>J592*6/100+J592</f>
        <v>-23595.599999999999</v>
      </c>
      <c r="L592" s="162">
        <f t="shared" ref="L592" si="231">K592*6/100+K592</f>
        <v>-25011.335999999999</v>
      </c>
    </row>
    <row r="593" spans="1:13" x14ac:dyDescent="0.2">
      <c r="A593" s="5"/>
      <c r="B593" s="7"/>
      <c r="C593" s="29"/>
      <c r="D593" s="11"/>
      <c r="E593" s="9"/>
      <c r="F593" s="11"/>
      <c r="G593" s="9"/>
      <c r="H593" s="11"/>
      <c r="I593" s="240"/>
      <c r="J593" s="162"/>
      <c r="K593" s="169"/>
      <c r="L593" s="162"/>
    </row>
    <row r="594" spans="1:13" s="3" customFormat="1" ht="15" x14ac:dyDescent="0.25">
      <c r="A594" s="18"/>
      <c r="B594" s="19" t="s">
        <v>426</v>
      </c>
      <c r="C594" s="28">
        <f>SUM(C587:C593)</f>
        <v>-121149</v>
      </c>
      <c r="D594" s="36">
        <f>SUM(D587:D593)</f>
        <v>-1508.05</v>
      </c>
      <c r="E594" s="28">
        <f>SUM(E587:E593)</f>
        <v>0</v>
      </c>
      <c r="F594" s="36">
        <f>SUM(F587:F593)</f>
        <v>-23846.41</v>
      </c>
      <c r="G594" s="28">
        <f>SUM(G587:G593)</f>
        <v>-97302.590000000011</v>
      </c>
      <c r="H594" s="21">
        <v>19.68</v>
      </c>
      <c r="I594" s="243">
        <f>SUM(I587:I593)</f>
        <v>88163.739999999991</v>
      </c>
      <c r="J594" s="172">
        <f>SUM(J587:J593)</f>
        <v>-32985.26</v>
      </c>
      <c r="K594" s="236">
        <f>SUM(K587:K593)</f>
        <v>-2034964.3756000001</v>
      </c>
      <c r="L594" s="172">
        <f>SUM(L587:L593)</f>
        <v>-3587062.238136</v>
      </c>
    </row>
    <row r="595" spans="1:13" s="3" customFormat="1" ht="15" x14ac:dyDescent="0.25">
      <c r="A595" s="18"/>
      <c r="B595" s="19"/>
      <c r="C595" s="28"/>
      <c r="D595" s="21"/>
      <c r="E595" s="20"/>
      <c r="F595" s="21"/>
      <c r="G595" s="20"/>
      <c r="H595" s="21"/>
      <c r="I595" s="238"/>
      <c r="J595" s="168"/>
      <c r="K595" s="178"/>
      <c r="L595" s="168"/>
    </row>
    <row r="596" spans="1:13" s="3" customFormat="1" ht="15" x14ac:dyDescent="0.25">
      <c r="A596" s="18"/>
      <c r="B596" s="19" t="s">
        <v>427</v>
      </c>
      <c r="C596" s="28">
        <f>C578+C584+C594</f>
        <v>-551541</v>
      </c>
      <c r="D596" s="36">
        <f>D578+D584+D594</f>
        <v>-16610.71</v>
      </c>
      <c r="E596" s="28">
        <f>E578+E584+E594</f>
        <v>0</v>
      </c>
      <c r="F596" s="36">
        <f>F578+F584+F594</f>
        <v>-53365.86</v>
      </c>
      <c r="G596" s="28">
        <f>G578+G584+G594</f>
        <v>-498175.14</v>
      </c>
      <c r="H596" s="21">
        <v>9.67</v>
      </c>
      <c r="I596" s="243">
        <f>I578+I584+I594</f>
        <v>57683.189999999988</v>
      </c>
      <c r="J596" s="172">
        <f>J578+J584+J594</f>
        <v>-493857.81</v>
      </c>
      <c r="K596" s="236">
        <f>K578+K584+K594</f>
        <v>-2099489.2786000003</v>
      </c>
      <c r="L596" s="172">
        <f>L578+L584+L594</f>
        <v>-3655458.6353159999</v>
      </c>
    </row>
    <row r="597" spans="1:13" s="3" customFormat="1" ht="15" x14ac:dyDescent="0.25">
      <c r="A597" s="18"/>
      <c r="B597" s="19"/>
      <c r="C597" s="28"/>
      <c r="D597" s="21"/>
      <c r="E597" s="20"/>
      <c r="F597" s="21"/>
      <c r="G597" s="20"/>
      <c r="H597" s="21"/>
      <c r="I597" s="238"/>
      <c r="J597" s="168"/>
      <c r="K597" s="178"/>
      <c r="L597" s="168"/>
    </row>
    <row r="598" spans="1:13" s="3" customFormat="1" ht="15" x14ac:dyDescent="0.25">
      <c r="A598" s="18"/>
      <c r="B598" s="19" t="s">
        <v>428</v>
      </c>
      <c r="C598" s="28">
        <f>C596</f>
        <v>-551541</v>
      </c>
      <c r="D598" s="36">
        <f t="shared" ref="D598:L598" si="232">D596</f>
        <v>-16610.71</v>
      </c>
      <c r="E598" s="28">
        <f t="shared" si="232"/>
        <v>0</v>
      </c>
      <c r="F598" s="36">
        <f t="shared" si="232"/>
        <v>-53365.86</v>
      </c>
      <c r="G598" s="28">
        <f t="shared" si="232"/>
        <v>-498175.14</v>
      </c>
      <c r="H598" s="21">
        <v>9.67</v>
      </c>
      <c r="I598" s="243">
        <f t="shared" si="232"/>
        <v>57683.189999999988</v>
      </c>
      <c r="J598" s="172">
        <f t="shared" si="232"/>
        <v>-493857.81</v>
      </c>
      <c r="K598" s="236">
        <f t="shared" si="232"/>
        <v>-2099489.2786000003</v>
      </c>
      <c r="L598" s="172">
        <f t="shared" si="232"/>
        <v>-3655458.6353159999</v>
      </c>
    </row>
    <row r="599" spans="1:13" s="3" customFormat="1" ht="15" x14ac:dyDescent="0.25">
      <c r="A599" s="18"/>
      <c r="B599" s="19"/>
      <c r="C599" s="28"/>
      <c r="D599" s="21"/>
      <c r="E599" s="20"/>
      <c r="F599" s="21"/>
      <c r="G599" s="20"/>
      <c r="H599" s="21"/>
      <c r="I599" s="238"/>
      <c r="J599" s="168"/>
      <c r="K599" s="178"/>
      <c r="L599" s="168"/>
    </row>
    <row r="600" spans="1:13" s="3" customFormat="1" ht="15" x14ac:dyDescent="0.25">
      <c r="A600" s="18"/>
      <c r="B600" s="19" t="s">
        <v>429</v>
      </c>
      <c r="C600" s="28">
        <f>C598</f>
        <v>-551541</v>
      </c>
      <c r="D600" s="36">
        <f t="shared" ref="D600:G600" si="233">D598</f>
        <v>-16610.71</v>
      </c>
      <c r="E600" s="28">
        <f t="shared" si="233"/>
        <v>0</v>
      </c>
      <c r="F600" s="36">
        <f t="shared" si="233"/>
        <v>-53365.86</v>
      </c>
      <c r="G600" s="28">
        <f t="shared" si="233"/>
        <v>-498175.14</v>
      </c>
      <c r="H600" s="21">
        <v>9.67</v>
      </c>
      <c r="I600" s="243">
        <f t="shared" ref="I600:L600" si="234">I598</f>
        <v>57683.189999999988</v>
      </c>
      <c r="J600" s="172">
        <f t="shared" si="234"/>
        <v>-493857.81</v>
      </c>
      <c r="K600" s="236">
        <f t="shared" si="234"/>
        <v>-2099489.2786000003</v>
      </c>
      <c r="L600" s="172">
        <f t="shared" si="234"/>
        <v>-3655458.6353159999</v>
      </c>
    </row>
    <row r="601" spans="1:13" s="3" customFormat="1" ht="15" x14ac:dyDescent="0.25">
      <c r="A601" s="18"/>
      <c r="B601" s="19"/>
      <c r="C601" s="28"/>
      <c r="D601" s="21"/>
      <c r="E601" s="20"/>
      <c r="F601" s="21"/>
      <c r="G601" s="20"/>
      <c r="H601" s="21"/>
      <c r="I601" s="238"/>
      <c r="J601" s="168"/>
      <c r="K601" s="178"/>
      <c r="L601" s="168"/>
    </row>
    <row r="602" spans="1:13" s="3" customFormat="1" ht="15" x14ac:dyDescent="0.25">
      <c r="A602" s="18"/>
      <c r="B602" s="19" t="s">
        <v>431</v>
      </c>
      <c r="C602" s="28"/>
      <c r="D602" s="21"/>
      <c r="E602" s="20"/>
      <c r="F602" s="21"/>
      <c r="G602" s="20"/>
      <c r="H602" s="21"/>
      <c r="I602" s="238"/>
      <c r="J602" s="168"/>
      <c r="K602" s="178"/>
      <c r="L602" s="168"/>
    </row>
    <row r="603" spans="1:13" x14ac:dyDescent="0.2">
      <c r="A603" s="5" t="s">
        <v>630</v>
      </c>
      <c r="B603" s="7" t="s">
        <v>433</v>
      </c>
      <c r="C603" s="29">
        <f>C570</f>
        <v>6434012</v>
      </c>
      <c r="D603" s="37">
        <f t="shared" ref="D603:L603" si="235">D570</f>
        <v>362231.4</v>
      </c>
      <c r="E603" s="29">
        <f t="shared" si="235"/>
        <v>261654.47</v>
      </c>
      <c r="F603" s="37">
        <f t="shared" si="235"/>
        <v>1932581.37</v>
      </c>
      <c r="G603" s="29">
        <f t="shared" si="235"/>
        <v>4239776.16</v>
      </c>
      <c r="H603" s="11">
        <v>30.03</v>
      </c>
      <c r="I603" s="76">
        <f t="shared" si="235"/>
        <v>451131</v>
      </c>
      <c r="J603" s="116">
        <f t="shared" si="235"/>
        <v>6885143</v>
      </c>
      <c r="K603" s="246">
        <f t="shared" si="235"/>
        <v>5228177.58</v>
      </c>
      <c r="L603" s="116">
        <f t="shared" si="235"/>
        <v>8641868.2347999997</v>
      </c>
      <c r="M603" s="117"/>
    </row>
    <row r="604" spans="1:13" x14ac:dyDescent="0.2">
      <c r="A604" s="5" t="s">
        <v>631</v>
      </c>
      <c r="B604" s="7" t="s">
        <v>429</v>
      </c>
      <c r="C604" s="29">
        <f>C600</f>
        <v>-551541</v>
      </c>
      <c r="D604" s="37">
        <f t="shared" ref="D604:L604" si="236">D600</f>
        <v>-16610.71</v>
      </c>
      <c r="E604" s="29">
        <f t="shared" si="236"/>
        <v>0</v>
      </c>
      <c r="F604" s="37">
        <f t="shared" si="236"/>
        <v>-53365.86</v>
      </c>
      <c r="G604" s="29">
        <f t="shared" si="236"/>
        <v>-498175.14</v>
      </c>
      <c r="H604" s="11">
        <v>9.67</v>
      </c>
      <c r="I604" s="76">
        <f t="shared" si="236"/>
        <v>57683.189999999988</v>
      </c>
      <c r="J604" s="116">
        <f t="shared" si="236"/>
        <v>-493857.81</v>
      </c>
      <c r="K604" s="246">
        <f t="shared" si="236"/>
        <v>-2099489.2786000003</v>
      </c>
      <c r="L604" s="116">
        <f t="shared" si="236"/>
        <v>-3655458.6353159999</v>
      </c>
    </row>
    <row r="605" spans="1:13" x14ac:dyDescent="0.2">
      <c r="A605" s="5"/>
      <c r="B605" s="7"/>
      <c r="C605" s="29"/>
      <c r="D605" s="11"/>
      <c r="E605" s="9"/>
      <c r="F605" s="11"/>
      <c r="G605" s="9"/>
      <c r="H605" s="11"/>
      <c r="I605" s="240"/>
      <c r="J605" s="162"/>
      <c r="K605" s="169"/>
      <c r="L605" s="162"/>
    </row>
    <row r="606" spans="1:13" s="3" customFormat="1" ht="15" x14ac:dyDescent="0.25">
      <c r="A606" s="18"/>
      <c r="B606" s="19" t="s">
        <v>435</v>
      </c>
      <c r="C606" s="28">
        <f>C603+C604</f>
        <v>5882471</v>
      </c>
      <c r="D606" s="36">
        <f t="shared" ref="D606:L606" si="237">D603+D604</f>
        <v>345620.69</v>
      </c>
      <c r="E606" s="28">
        <f t="shared" si="237"/>
        <v>261654.47</v>
      </c>
      <c r="F606" s="36">
        <f t="shared" si="237"/>
        <v>1879215.51</v>
      </c>
      <c r="G606" s="28">
        <f t="shared" si="237"/>
        <v>3741601.02</v>
      </c>
      <c r="H606" s="21">
        <v>31.94</v>
      </c>
      <c r="I606" s="71">
        <f t="shared" si="237"/>
        <v>508814.19</v>
      </c>
      <c r="J606" s="172">
        <f t="shared" si="237"/>
        <v>6391285.1900000004</v>
      </c>
      <c r="K606" s="236">
        <f t="shared" si="237"/>
        <v>3128688.3013999998</v>
      </c>
      <c r="L606" s="172">
        <f t="shared" si="237"/>
        <v>4986409.5994840004</v>
      </c>
    </row>
    <row r="607" spans="1:13" s="3" customFormat="1" ht="15" x14ac:dyDescent="0.25">
      <c r="A607" s="18"/>
      <c r="B607" s="19"/>
      <c r="C607" s="28"/>
      <c r="D607" s="21"/>
      <c r="E607" s="20"/>
      <c r="F607" s="21"/>
      <c r="G607" s="20"/>
      <c r="H607" s="21"/>
      <c r="I607" s="238"/>
      <c r="J607" s="168"/>
      <c r="K607" s="178"/>
      <c r="L607" s="168"/>
    </row>
    <row r="608" spans="1:13" s="3" customFormat="1" ht="15" x14ac:dyDescent="0.25">
      <c r="A608" s="18"/>
      <c r="B608" s="19" t="s">
        <v>436</v>
      </c>
      <c r="C608" s="28">
        <f>C606</f>
        <v>5882471</v>
      </c>
      <c r="D608" s="36">
        <f t="shared" ref="D608:G608" si="238">D606</f>
        <v>345620.69</v>
      </c>
      <c r="E608" s="28">
        <f t="shared" si="238"/>
        <v>261654.47</v>
      </c>
      <c r="F608" s="36">
        <f t="shared" si="238"/>
        <v>1879215.51</v>
      </c>
      <c r="G608" s="28">
        <f t="shared" si="238"/>
        <v>3741601.02</v>
      </c>
      <c r="H608" s="21">
        <v>31.94</v>
      </c>
      <c r="I608" s="243">
        <f t="shared" ref="I608:L608" si="239">I606</f>
        <v>508814.19</v>
      </c>
      <c r="J608" s="172">
        <f t="shared" si="239"/>
        <v>6391285.1900000004</v>
      </c>
      <c r="K608" s="236">
        <f t="shared" si="239"/>
        <v>3128688.3013999998</v>
      </c>
      <c r="L608" s="172">
        <f t="shared" si="239"/>
        <v>4986409.5994840004</v>
      </c>
    </row>
    <row r="609" spans="1:12" s="3" customFormat="1" ht="15" x14ac:dyDescent="0.25">
      <c r="A609" s="18"/>
      <c r="B609" s="19"/>
      <c r="C609" s="28"/>
      <c r="D609" s="21"/>
      <c r="E609" s="20"/>
      <c r="F609" s="21"/>
      <c r="G609" s="20"/>
      <c r="H609" s="21"/>
      <c r="I609" s="238"/>
      <c r="J609" s="168"/>
      <c r="K609" s="178"/>
      <c r="L609" s="168"/>
    </row>
    <row r="610" spans="1:12" s="3" customFormat="1" ht="15" x14ac:dyDescent="0.25">
      <c r="A610" s="18"/>
      <c r="B610" s="19" t="s">
        <v>437</v>
      </c>
      <c r="C610" s="28"/>
      <c r="D610" s="21"/>
      <c r="E610" s="20"/>
      <c r="F610" s="21"/>
      <c r="G610" s="20"/>
      <c r="H610" s="21"/>
      <c r="I610" s="238"/>
      <c r="J610" s="168"/>
      <c r="K610" s="178"/>
      <c r="L610" s="168"/>
    </row>
    <row r="611" spans="1:12" s="3" customFormat="1" ht="15" x14ac:dyDescent="0.25">
      <c r="A611" s="18"/>
      <c r="B611" s="19"/>
      <c r="C611" s="28"/>
      <c r="D611" s="21"/>
      <c r="E611" s="20"/>
      <c r="F611" s="21"/>
      <c r="G611" s="20"/>
      <c r="H611" s="21"/>
      <c r="I611" s="238"/>
      <c r="J611" s="168"/>
      <c r="K611" s="178"/>
      <c r="L611" s="168"/>
    </row>
    <row r="612" spans="1:12" x14ac:dyDescent="0.2">
      <c r="A612" s="5" t="s">
        <v>633</v>
      </c>
      <c r="B612" s="7" t="s">
        <v>470</v>
      </c>
      <c r="C612" s="29">
        <v>500000</v>
      </c>
      <c r="D612" s="11">
        <v>0</v>
      </c>
      <c r="E612" s="9">
        <v>0</v>
      </c>
      <c r="F612" s="11">
        <v>0</v>
      </c>
      <c r="G612" s="9">
        <v>500000</v>
      </c>
      <c r="H612" s="11">
        <v>0</v>
      </c>
      <c r="I612" s="240">
        <f>LEDP!I112</f>
        <v>-500000</v>
      </c>
      <c r="J612" s="109">
        <f>C612+I612</f>
        <v>0</v>
      </c>
      <c r="K612" s="229">
        <f>LEDP!K112</f>
        <v>0</v>
      </c>
      <c r="L612" s="109">
        <f>LEDP!L112</f>
        <v>0</v>
      </c>
    </row>
    <row r="613" spans="1:12" x14ac:dyDescent="0.2">
      <c r="A613" s="5"/>
      <c r="B613" s="111" t="s">
        <v>1080</v>
      </c>
      <c r="C613" s="29"/>
      <c r="D613" s="11"/>
      <c r="E613" s="9"/>
      <c r="F613" s="11"/>
      <c r="G613" s="9"/>
      <c r="H613" s="11"/>
      <c r="I613" s="240">
        <f>LEDP!I113</f>
        <v>0</v>
      </c>
      <c r="J613" s="109">
        <f t="shared" ref="J613:J616" si="240">C613+I613</f>
        <v>0</v>
      </c>
      <c r="K613" s="229">
        <f>LEDP!K113</f>
        <v>1000000</v>
      </c>
      <c r="L613" s="109">
        <f>LEDP!L113</f>
        <v>1500000</v>
      </c>
    </row>
    <row r="614" spans="1:12" x14ac:dyDescent="0.2">
      <c r="A614" s="5"/>
      <c r="B614" s="111" t="s">
        <v>1081</v>
      </c>
      <c r="C614" s="29"/>
      <c r="D614" s="11"/>
      <c r="E614" s="9"/>
      <c r="F614" s="11"/>
      <c r="G614" s="9"/>
      <c r="H614" s="11"/>
      <c r="I614" s="240">
        <f>LEDP!I114</f>
        <v>0</v>
      </c>
      <c r="J614" s="109">
        <f t="shared" si="240"/>
        <v>0</v>
      </c>
      <c r="K614" s="229">
        <f>LEDP!K114</f>
        <v>500000</v>
      </c>
      <c r="L614" s="109">
        <f>LEDP!L114</f>
        <v>500000</v>
      </c>
    </row>
    <row r="615" spans="1:12" x14ac:dyDescent="0.2">
      <c r="A615" s="5"/>
      <c r="B615" s="7" t="s">
        <v>1082</v>
      </c>
      <c r="C615" s="29"/>
      <c r="D615" s="11"/>
      <c r="E615" s="9"/>
      <c r="F615" s="11"/>
      <c r="G615" s="9"/>
      <c r="H615" s="11"/>
      <c r="I615" s="240">
        <f>LEDP!I115</f>
        <v>0</v>
      </c>
      <c r="J615" s="109">
        <f t="shared" si="240"/>
        <v>0</v>
      </c>
      <c r="K615" s="229">
        <f>LEDP!K115</f>
        <v>135000</v>
      </c>
      <c r="L615" s="109">
        <f>LEDP!L115</f>
        <v>0</v>
      </c>
    </row>
    <row r="616" spans="1:12" s="323" customFormat="1" x14ac:dyDescent="0.2">
      <c r="A616" s="319"/>
      <c r="B616" s="320" t="s">
        <v>142</v>
      </c>
      <c r="C616" s="321">
        <v>0</v>
      </c>
      <c r="D616" s="322"/>
      <c r="E616" s="241"/>
      <c r="F616" s="322"/>
      <c r="G616" s="241"/>
      <c r="H616" s="322"/>
      <c r="I616" s="240">
        <f>LEDP!I116</f>
        <v>100000</v>
      </c>
      <c r="J616" s="109">
        <f t="shared" si="240"/>
        <v>100000</v>
      </c>
      <c r="K616" s="229">
        <f>LEDP!K116</f>
        <v>0</v>
      </c>
      <c r="L616" s="109">
        <f>LEDP!L116</f>
        <v>0</v>
      </c>
    </row>
    <row r="617" spans="1:12" x14ac:dyDescent="0.2">
      <c r="A617" s="5"/>
      <c r="B617" s="7"/>
      <c r="C617" s="29"/>
      <c r="D617" s="11"/>
      <c r="E617" s="9"/>
      <c r="F617" s="11"/>
      <c r="G617" s="9"/>
      <c r="H617" s="11"/>
      <c r="I617" s="240"/>
      <c r="J617" s="162"/>
      <c r="K617" s="169"/>
      <c r="L617" s="162"/>
    </row>
    <row r="618" spans="1:12" s="3" customFormat="1" ht="15" x14ac:dyDescent="0.25">
      <c r="A618" s="18"/>
      <c r="B618" s="19" t="s">
        <v>471</v>
      </c>
      <c r="C618" s="28">
        <f>SUM(C612:C617)</f>
        <v>500000</v>
      </c>
      <c r="D618" s="36">
        <f t="shared" ref="D618:G618" si="241">SUM(D612:D617)</f>
        <v>0</v>
      </c>
      <c r="E618" s="28">
        <f t="shared" si="241"/>
        <v>0</v>
      </c>
      <c r="F618" s="36">
        <f t="shared" si="241"/>
        <v>0</v>
      </c>
      <c r="G618" s="28">
        <f t="shared" si="241"/>
        <v>500000</v>
      </c>
      <c r="H618" s="21">
        <v>0</v>
      </c>
      <c r="I618" s="243">
        <f t="shared" ref="I618" si="242">SUM(I612:I617)</f>
        <v>-400000</v>
      </c>
      <c r="J618" s="172">
        <f t="shared" ref="J618:L618" si="243">SUM(J612:J617)</f>
        <v>100000</v>
      </c>
      <c r="K618" s="236">
        <f t="shared" si="243"/>
        <v>1635000</v>
      </c>
      <c r="L618" s="172">
        <f t="shared" si="243"/>
        <v>2000000</v>
      </c>
    </row>
    <row r="619" spans="1:12" s="3" customFormat="1" ht="15" x14ac:dyDescent="0.25">
      <c r="A619" s="18"/>
      <c r="B619" s="19"/>
      <c r="C619" s="28"/>
      <c r="D619" s="21"/>
      <c r="E619" s="20"/>
      <c r="F619" s="21"/>
      <c r="G619" s="20"/>
      <c r="H619" s="21"/>
      <c r="I619" s="238"/>
      <c r="J619" s="168"/>
      <c r="K619" s="178"/>
      <c r="L619" s="168"/>
    </row>
    <row r="620" spans="1:12" s="3" customFormat="1" ht="15" x14ac:dyDescent="0.25">
      <c r="A620" s="18"/>
      <c r="B620" s="19" t="s">
        <v>472</v>
      </c>
      <c r="C620" s="28">
        <f>C618</f>
        <v>500000</v>
      </c>
      <c r="D620" s="36">
        <f t="shared" ref="D620:L620" si="244">D618</f>
        <v>0</v>
      </c>
      <c r="E620" s="28">
        <f t="shared" si="244"/>
        <v>0</v>
      </c>
      <c r="F620" s="36">
        <f t="shared" si="244"/>
        <v>0</v>
      </c>
      <c r="G620" s="28">
        <f t="shared" si="244"/>
        <v>500000</v>
      </c>
      <c r="H620" s="21">
        <v>0</v>
      </c>
      <c r="I620" s="243">
        <f t="shared" si="244"/>
        <v>-400000</v>
      </c>
      <c r="J620" s="172">
        <f t="shared" si="244"/>
        <v>100000</v>
      </c>
      <c r="K620" s="236">
        <f t="shared" si="244"/>
        <v>1635000</v>
      </c>
      <c r="L620" s="172">
        <f t="shared" si="244"/>
        <v>2000000</v>
      </c>
    </row>
    <row r="621" spans="1:12" s="3" customFormat="1" ht="15" x14ac:dyDescent="0.25">
      <c r="A621" s="18"/>
      <c r="B621" s="19"/>
      <c r="C621" s="28"/>
      <c r="D621" s="21"/>
      <c r="E621" s="20"/>
      <c r="F621" s="21"/>
      <c r="G621" s="20"/>
      <c r="H621" s="21"/>
      <c r="I621" s="238"/>
      <c r="J621" s="168"/>
      <c r="K621" s="178"/>
      <c r="L621" s="168"/>
    </row>
    <row r="622" spans="1:12" s="3" customFormat="1" ht="15" x14ac:dyDescent="0.25">
      <c r="A622" s="18"/>
      <c r="B622" s="19" t="s">
        <v>634</v>
      </c>
      <c r="C622" s="28"/>
      <c r="D622" s="21"/>
      <c r="E622" s="20"/>
      <c r="F622" s="21"/>
      <c r="G622" s="20"/>
      <c r="H622" s="21"/>
      <c r="I622" s="238"/>
      <c r="J622" s="168"/>
      <c r="K622" s="178"/>
      <c r="L622" s="168"/>
    </row>
    <row r="623" spans="1:12" s="3" customFormat="1" ht="15" x14ac:dyDescent="0.25">
      <c r="A623" s="18"/>
      <c r="B623" s="19"/>
      <c r="C623" s="28"/>
      <c r="D623" s="21"/>
      <c r="E623" s="20"/>
      <c r="F623" s="21"/>
      <c r="G623" s="20"/>
      <c r="H623" s="21"/>
      <c r="I623" s="238"/>
      <c r="J623" s="168"/>
      <c r="K623" s="178"/>
      <c r="L623" s="168"/>
    </row>
    <row r="624" spans="1:12" s="3" customFormat="1" ht="15" x14ac:dyDescent="0.25">
      <c r="A624" s="18"/>
      <c r="B624" s="19" t="s">
        <v>9</v>
      </c>
      <c r="C624" s="28"/>
      <c r="D624" s="21"/>
      <c r="E624" s="20"/>
      <c r="F624" s="21"/>
      <c r="G624" s="20"/>
      <c r="H624" s="21"/>
      <c r="I624" s="238"/>
      <c r="J624" s="168"/>
      <c r="K624" s="178"/>
      <c r="L624" s="168"/>
    </row>
    <row r="625" spans="1:12" s="3" customFormat="1" ht="15" x14ac:dyDescent="0.25">
      <c r="A625" s="18"/>
      <c r="B625" s="19"/>
      <c r="C625" s="28"/>
      <c r="D625" s="21"/>
      <c r="E625" s="20"/>
      <c r="F625" s="21"/>
      <c r="G625" s="20"/>
      <c r="H625" s="21"/>
      <c r="I625" s="238"/>
      <c r="J625" s="168"/>
      <c r="K625" s="178"/>
      <c r="L625" s="168"/>
    </row>
    <row r="626" spans="1:12" s="3" customFormat="1" ht="15" x14ac:dyDescent="0.25">
      <c r="A626" s="18"/>
      <c r="B626" s="19" t="s">
        <v>10</v>
      </c>
      <c r="C626" s="28"/>
      <c r="D626" s="21"/>
      <c r="E626" s="20"/>
      <c r="F626" s="21"/>
      <c r="G626" s="20"/>
      <c r="H626" s="21"/>
      <c r="I626" s="238"/>
      <c r="J626" s="168"/>
      <c r="K626" s="178"/>
      <c r="L626" s="168"/>
    </row>
    <row r="627" spans="1:12" s="3" customFormat="1" ht="15" x14ac:dyDescent="0.25">
      <c r="A627" s="18"/>
      <c r="B627" s="19"/>
      <c r="C627" s="28"/>
      <c r="D627" s="21"/>
      <c r="E627" s="20"/>
      <c r="F627" s="21"/>
      <c r="G627" s="20"/>
      <c r="H627" s="21"/>
      <c r="I627" s="238"/>
      <c r="J627" s="168"/>
      <c r="K627" s="178"/>
      <c r="L627" s="168"/>
    </row>
    <row r="628" spans="1:12" s="3" customFormat="1" ht="15" x14ac:dyDescent="0.25">
      <c r="A628" s="18"/>
      <c r="B628" s="19" t="s">
        <v>11</v>
      </c>
      <c r="C628" s="28"/>
      <c r="D628" s="21"/>
      <c r="E628" s="20"/>
      <c r="F628" s="21"/>
      <c r="G628" s="20"/>
      <c r="H628" s="21"/>
      <c r="I628" s="238"/>
      <c r="J628" s="168"/>
      <c r="K628" s="178"/>
      <c r="L628" s="168"/>
    </row>
    <row r="629" spans="1:12" s="3" customFormat="1" ht="15" x14ac:dyDescent="0.25">
      <c r="A629" s="18"/>
      <c r="B629" s="19"/>
      <c r="C629" s="28"/>
      <c r="D629" s="21"/>
      <c r="E629" s="20"/>
      <c r="F629" s="21"/>
      <c r="G629" s="20"/>
      <c r="H629" s="21"/>
      <c r="I629" s="238"/>
      <c r="J629" s="168"/>
      <c r="K629" s="178"/>
      <c r="L629" s="168"/>
    </row>
    <row r="630" spans="1:12" x14ac:dyDescent="0.2">
      <c r="A630" s="5" t="s">
        <v>636</v>
      </c>
      <c r="B630" s="7" t="s">
        <v>13</v>
      </c>
      <c r="C630" s="29">
        <v>250866</v>
      </c>
      <c r="D630" s="11">
        <v>0</v>
      </c>
      <c r="E630" s="9">
        <v>0</v>
      </c>
      <c r="F630" s="11">
        <v>102570.57</v>
      </c>
      <c r="G630" s="9">
        <f>C630-E630-F630</f>
        <v>148295.43</v>
      </c>
      <c r="H630" s="11">
        <v>40.880000000000003</v>
      </c>
      <c r="I630" s="240">
        <f>MM!I10</f>
        <v>0</v>
      </c>
      <c r="J630" s="162">
        <f t="shared" ref="J630:J640" si="245">C630+I630</f>
        <v>250866</v>
      </c>
      <c r="K630" s="169">
        <f t="shared" ref="K630:K639" si="246">J630*6/100+J630</f>
        <v>265917.96000000002</v>
      </c>
      <c r="L630" s="162">
        <f t="shared" ref="L630:L633" si="247">K630*6/100+K630</f>
        <v>281873.03760000004</v>
      </c>
    </row>
    <row r="631" spans="1:12" x14ac:dyDescent="0.2">
      <c r="A631" s="5" t="s">
        <v>637</v>
      </c>
      <c r="B631" s="7" t="s">
        <v>15</v>
      </c>
      <c r="C631" s="29">
        <v>31320</v>
      </c>
      <c r="D631" s="11">
        <v>2100</v>
      </c>
      <c r="E631" s="9">
        <v>0</v>
      </c>
      <c r="F631" s="11">
        <v>9800</v>
      </c>
      <c r="G631" s="9">
        <f t="shared" ref="G631:G640" si="248">C631-E631-F631</f>
        <v>21520</v>
      </c>
      <c r="H631" s="11">
        <v>31.28</v>
      </c>
      <c r="I631" s="240">
        <f>C631*-15/100</f>
        <v>-4698</v>
      </c>
      <c r="J631" s="162">
        <f t="shared" si="245"/>
        <v>26622</v>
      </c>
      <c r="K631" s="169">
        <f t="shared" si="246"/>
        <v>28219.32</v>
      </c>
      <c r="L631" s="162">
        <f t="shared" si="247"/>
        <v>29912.479199999998</v>
      </c>
    </row>
    <row r="632" spans="1:12" x14ac:dyDescent="0.2">
      <c r="A632" s="5" t="s">
        <v>638</v>
      </c>
      <c r="B632" s="7" t="s">
        <v>17</v>
      </c>
      <c r="C632" s="29">
        <v>78462</v>
      </c>
      <c r="D632" s="11">
        <v>12314.05</v>
      </c>
      <c r="E632" s="9">
        <v>0</v>
      </c>
      <c r="F632" s="11">
        <v>73884.3</v>
      </c>
      <c r="G632" s="9">
        <f t="shared" si="248"/>
        <v>4577.6999999999971</v>
      </c>
      <c r="H632" s="11">
        <v>94.16</v>
      </c>
      <c r="I632" s="240">
        <f>D632*6</f>
        <v>73884.299999999988</v>
      </c>
      <c r="J632" s="162">
        <f t="shared" si="245"/>
        <v>152346.29999999999</v>
      </c>
      <c r="K632" s="169">
        <f t="shared" si="246"/>
        <v>161487.07799999998</v>
      </c>
      <c r="L632" s="162">
        <f t="shared" si="247"/>
        <v>171176.30267999996</v>
      </c>
    </row>
    <row r="633" spans="1:12" x14ac:dyDescent="0.2">
      <c r="A633" s="5" t="s">
        <v>639</v>
      </c>
      <c r="B633" s="7" t="s">
        <v>19</v>
      </c>
      <c r="C633" s="29">
        <v>160000</v>
      </c>
      <c r="D633" s="11">
        <v>33280.720000000001</v>
      </c>
      <c r="E633" s="9">
        <v>23138.47</v>
      </c>
      <c r="F633" s="11">
        <v>156650.59</v>
      </c>
      <c r="G633" s="9">
        <f t="shared" si="248"/>
        <v>-19789.059999999998</v>
      </c>
      <c r="H633" s="11">
        <v>97.9</v>
      </c>
      <c r="I633" s="240">
        <f>MM!I13</f>
        <v>156000</v>
      </c>
      <c r="J633" s="162">
        <f t="shared" si="245"/>
        <v>316000</v>
      </c>
      <c r="K633" s="169">
        <f t="shared" si="246"/>
        <v>334960</v>
      </c>
      <c r="L633" s="162">
        <f t="shared" si="247"/>
        <v>355057.6</v>
      </c>
    </row>
    <row r="634" spans="1:12" x14ac:dyDescent="0.2">
      <c r="A634" s="5" t="s">
        <v>640</v>
      </c>
      <c r="B634" s="7" t="s">
        <v>21</v>
      </c>
      <c r="C634" s="29">
        <v>0</v>
      </c>
      <c r="D634" s="11">
        <v>0</v>
      </c>
      <c r="E634" s="9">
        <v>0</v>
      </c>
      <c r="F634" s="11">
        <v>0</v>
      </c>
      <c r="G634" s="9">
        <f t="shared" si="248"/>
        <v>0</v>
      </c>
      <c r="H634" s="11">
        <v>0</v>
      </c>
      <c r="I634" s="240">
        <f>MM!I14</f>
        <v>0</v>
      </c>
      <c r="J634" s="162">
        <f t="shared" si="245"/>
        <v>0</v>
      </c>
      <c r="K634" s="169">
        <f t="shared" si="246"/>
        <v>0</v>
      </c>
      <c r="L634" s="162">
        <f t="shared" ref="L634" si="249">K634*6/100+K634</f>
        <v>0</v>
      </c>
    </row>
    <row r="635" spans="1:12" x14ac:dyDescent="0.2">
      <c r="A635" s="5" t="s">
        <v>642</v>
      </c>
      <c r="B635" s="7" t="s">
        <v>24</v>
      </c>
      <c r="C635" s="29">
        <v>174816</v>
      </c>
      <c r="D635" s="11">
        <v>27172.73</v>
      </c>
      <c r="E635" s="9">
        <v>0</v>
      </c>
      <c r="F635" s="11">
        <v>163036.38</v>
      </c>
      <c r="G635" s="9">
        <f t="shared" si="248"/>
        <v>11779.619999999995</v>
      </c>
      <c r="H635" s="11">
        <v>93.26</v>
      </c>
      <c r="I635" s="240">
        <f>D635*6</f>
        <v>163036.38</v>
      </c>
      <c r="J635" s="162">
        <f t="shared" si="245"/>
        <v>337852.38</v>
      </c>
      <c r="K635" s="169">
        <f t="shared" si="246"/>
        <v>358123.52280000004</v>
      </c>
      <c r="L635" s="162">
        <f t="shared" ref="L635:L639" si="250">K635*6/100+K635</f>
        <v>379610.93416800007</v>
      </c>
    </row>
    <row r="636" spans="1:12" x14ac:dyDescent="0.2">
      <c r="A636" s="5" t="s">
        <v>644</v>
      </c>
      <c r="B636" s="7" t="s">
        <v>28</v>
      </c>
      <c r="C636" s="29">
        <v>34051</v>
      </c>
      <c r="D636" s="11">
        <v>0</v>
      </c>
      <c r="E636" s="9">
        <v>0</v>
      </c>
      <c r="F636" s="11">
        <v>0</v>
      </c>
      <c r="G636" s="9">
        <f t="shared" si="248"/>
        <v>34051</v>
      </c>
      <c r="H636" s="11">
        <v>0</v>
      </c>
      <c r="I636" s="240">
        <f>MM!I18</f>
        <v>-34051</v>
      </c>
      <c r="J636" s="162">
        <f t="shared" si="245"/>
        <v>0</v>
      </c>
      <c r="K636" s="169">
        <f t="shared" si="246"/>
        <v>0</v>
      </c>
      <c r="L636" s="162">
        <f t="shared" si="250"/>
        <v>0</v>
      </c>
    </row>
    <row r="637" spans="1:12" x14ac:dyDescent="0.2">
      <c r="A637" s="5" t="s">
        <v>645</v>
      </c>
      <c r="B637" s="7" t="s">
        <v>30</v>
      </c>
      <c r="C637" s="29">
        <v>0</v>
      </c>
      <c r="D637" s="11">
        <v>0</v>
      </c>
      <c r="E637" s="9">
        <v>0</v>
      </c>
      <c r="F637" s="11">
        <v>0</v>
      </c>
      <c r="G637" s="9">
        <f t="shared" si="248"/>
        <v>0</v>
      </c>
      <c r="H637" s="11">
        <v>0</v>
      </c>
      <c r="I637" s="240">
        <f>MM!I19</f>
        <v>0</v>
      </c>
      <c r="J637" s="162">
        <f t="shared" si="245"/>
        <v>0</v>
      </c>
      <c r="K637" s="169">
        <f t="shared" si="246"/>
        <v>0</v>
      </c>
      <c r="L637" s="162">
        <f t="shared" si="250"/>
        <v>0</v>
      </c>
    </row>
    <row r="638" spans="1:12" x14ac:dyDescent="0.2">
      <c r="A638" s="5" t="s">
        <v>646</v>
      </c>
      <c r="B638" s="7" t="s">
        <v>32</v>
      </c>
      <c r="C638" s="29">
        <v>9376453</v>
      </c>
      <c r="D638" s="11">
        <v>676258.91</v>
      </c>
      <c r="E638" s="9">
        <v>0</v>
      </c>
      <c r="F638" s="11">
        <v>4058725.25</v>
      </c>
      <c r="G638" s="9">
        <f t="shared" si="248"/>
        <v>5317727.75</v>
      </c>
      <c r="H638" s="11">
        <v>43.28</v>
      </c>
      <c r="I638" s="240">
        <f>MM!I20</f>
        <v>0</v>
      </c>
      <c r="J638" s="162">
        <f t="shared" si="245"/>
        <v>9376453</v>
      </c>
      <c r="K638" s="169">
        <f t="shared" si="246"/>
        <v>9939040.1799999997</v>
      </c>
      <c r="L638" s="162">
        <f t="shared" si="250"/>
        <v>10535382.5908</v>
      </c>
    </row>
    <row r="639" spans="1:12" x14ac:dyDescent="0.2">
      <c r="A639" s="5" t="s">
        <v>648</v>
      </c>
      <c r="B639" s="7" t="s">
        <v>36</v>
      </c>
      <c r="C639" s="29">
        <v>712183</v>
      </c>
      <c r="D639" s="11">
        <v>37682.629999999997</v>
      </c>
      <c r="E639" s="9">
        <v>0</v>
      </c>
      <c r="F639" s="11">
        <v>225879.63</v>
      </c>
      <c r="G639" s="9">
        <f t="shared" si="248"/>
        <v>486303.37</v>
      </c>
      <c r="H639" s="11">
        <v>31.71</v>
      </c>
      <c r="I639" s="240">
        <f>C639*-15/100</f>
        <v>-106827.45</v>
      </c>
      <c r="J639" s="162">
        <f t="shared" si="245"/>
        <v>605355.55000000005</v>
      </c>
      <c r="K639" s="169">
        <f t="shared" si="246"/>
        <v>641676.88300000003</v>
      </c>
      <c r="L639" s="162">
        <f t="shared" si="250"/>
        <v>680177.49598000001</v>
      </c>
    </row>
    <row r="640" spans="1:12" x14ac:dyDescent="0.2">
      <c r="A640" s="5" t="s">
        <v>649</v>
      </c>
      <c r="B640" s="7" t="s">
        <v>38</v>
      </c>
      <c r="C640" s="29">
        <v>100000</v>
      </c>
      <c r="D640" s="11">
        <v>8333.33</v>
      </c>
      <c r="E640" s="9">
        <v>0</v>
      </c>
      <c r="F640" s="11">
        <v>53894.98</v>
      </c>
      <c r="G640" s="9">
        <f t="shared" si="248"/>
        <v>46105.02</v>
      </c>
      <c r="H640" s="11">
        <v>53.89</v>
      </c>
      <c r="I640" s="240">
        <f>MM!I23</f>
        <v>0</v>
      </c>
      <c r="J640" s="162">
        <f t="shared" si="245"/>
        <v>100000</v>
      </c>
      <c r="K640" s="169">
        <v>100000</v>
      </c>
      <c r="L640" s="162">
        <v>100000</v>
      </c>
    </row>
    <row r="641" spans="1:12" x14ac:dyDescent="0.2">
      <c r="A641" s="5"/>
      <c r="B641" s="7"/>
      <c r="C641" s="29"/>
      <c r="D641" s="11"/>
      <c r="E641" s="9"/>
      <c r="F641" s="11"/>
      <c r="G641" s="9"/>
      <c r="H641" s="11"/>
      <c r="I641" s="240"/>
      <c r="J641" s="162"/>
      <c r="K641" s="169"/>
      <c r="L641" s="162"/>
    </row>
    <row r="642" spans="1:12" s="3" customFormat="1" ht="15" x14ac:dyDescent="0.25">
      <c r="A642" s="18"/>
      <c r="B642" s="19" t="s">
        <v>49</v>
      </c>
      <c r="C642" s="28">
        <f>SUM(C630:C641)</f>
        <v>10918151</v>
      </c>
      <c r="D642" s="36">
        <f>SUM(D630:D641)</f>
        <v>797142.37</v>
      </c>
      <c r="E642" s="28">
        <f>SUM(E630:E641)</f>
        <v>23138.47</v>
      </c>
      <c r="F642" s="36">
        <f>SUM(F630:F641)</f>
        <v>4844441.7</v>
      </c>
      <c r="G642" s="28">
        <f>SUM(G630:G641)</f>
        <v>6050570.8300000001</v>
      </c>
      <c r="H642" s="21">
        <v>44.37</v>
      </c>
      <c r="I642" s="243">
        <f>SUM(I630:I641)</f>
        <v>247344.22999999998</v>
      </c>
      <c r="J642" s="172">
        <f>SUM(J630:J641)</f>
        <v>11165495.23</v>
      </c>
      <c r="K642" s="236">
        <f>SUM(K630:K641)</f>
        <v>11829424.943799999</v>
      </c>
      <c r="L642" s="172">
        <f>SUM(L630:L641)</f>
        <v>12533190.440428</v>
      </c>
    </row>
    <row r="643" spans="1:12" s="3" customFormat="1" ht="15" x14ac:dyDescent="0.25">
      <c r="A643" s="18"/>
      <c r="B643" s="19"/>
      <c r="C643" s="28"/>
      <c r="D643" s="21"/>
      <c r="E643" s="20"/>
      <c r="F643" s="21"/>
      <c r="G643" s="20"/>
      <c r="H643" s="21"/>
      <c r="I643" s="238"/>
      <c r="J643" s="168"/>
      <c r="K643" s="178"/>
      <c r="L643" s="168"/>
    </row>
    <row r="644" spans="1:12" s="3" customFormat="1" ht="15" x14ac:dyDescent="0.25">
      <c r="A644" s="18"/>
      <c r="B644" s="19" t="s">
        <v>50</v>
      </c>
      <c r="C644" s="28"/>
      <c r="D644" s="21"/>
      <c r="E644" s="20"/>
      <c r="F644" s="21"/>
      <c r="G644" s="20"/>
      <c r="H644" s="21"/>
      <c r="I644" s="238"/>
      <c r="J644" s="168"/>
      <c r="K644" s="178"/>
      <c r="L644" s="168"/>
    </row>
    <row r="645" spans="1:12" s="3" customFormat="1" ht="15" x14ac:dyDescent="0.25">
      <c r="A645" s="18"/>
      <c r="B645" s="19"/>
      <c r="C645" s="28"/>
      <c r="D645" s="21"/>
      <c r="E645" s="20"/>
      <c r="F645" s="21"/>
      <c r="G645" s="20"/>
      <c r="H645" s="21"/>
      <c r="I645" s="238"/>
      <c r="J645" s="168"/>
      <c r="K645" s="178"/>
      <c r="L645" s="168"/>
    </row>
    <row r="646" spans="1:12" x14ac:dyDescent="0.2">
      <c r="A646" s="5" t="s">
        <v>650</v>
      </c>
      <c r="B646" s="7" t="s">
        <v>53</v>
      </c>
      <c r="C646" s="29">
        <v>686</v>
      </c>
      <c r="D646" s="11">
        <v>50.75</v>
      </c>
      <c r="E646" s="9">
        <v>0</v>
      </c>
      <c r="F646" s="11">
        <v>297.25</v>
      </c>
      <c r="G646" s="9">
        <f t="shared" ref="G646:G650" si="251">C646-E646-F646</f>
        <v>388.75</v>
      </c>
      <c r="H646" s="11">
        <v>43.33</v>
      </c>
      <c r="I646" s="240">
        <f>MM!I29</f>
        <v>0</v>
      </c>
      <c r="J646" s="162">
        <f t="shared" ref="J646:J650" si="252">C646+I646</f>
        <v>686</v>
      </c>
      <c r="K646" s="169">
        <f>J646*6/100+J646</f>
        <v>727.16</v>
      </c>
      <c r="L646" s="162">
        <f t="shared" ref="L646" si="253">K646*6/100+K646</f>
        <v>770.78959999999995</v>
      </c>
    </row>
    <row r="647" spans="1:12" x14ac:dyDescent="0.2">
      <c r="A647" s="5" t="s">
        <v>651</v>
      </c>
      <c r="B647" s="7" t="s">
        <v>55</v>
      </c>
      <c r="C647" s="29">
        <v>15788</v>
      </c>
      <c r="D647" s="11">
        <v>975.65</v>
      </c>
      <c r="E647" s="9">
        <v>0</v>
      </c>
      <c r="F647" s="11">
        <v>5699.75</v>
      </c>
      <c r="G647" s="9">
        <f t="shared" si="251"/>
        <v>10088.25</v>
      </c>
      <c r="H647" s="11">
        <v>36.1</v>
      </c>
      <c r="I647" s="240">
        <f>MM!I30</f>
        <v>0</v>
      </c>
      <c r="J647" s="162">
        <f t="shared" si="252"/>
        <v>15788</v>
      </c>
      <c r="K647" s="169">
        <f>J647*6/100+J647</f>
        <v>16735.28</v>
      </c>
      <c r="L647" s="162">
        <f t="shared" ref="L647" si="254">K647*6/100+K647</f>
        <v>17739.396799999999</v>
      </c>
    </row>
    <row r="648" spans="1:12" x14ac:dyDescent="0.2">
      <c r="A648" s="5" t="s">
        <v>652</v>
      </c>
      <c r="B648" s="7" t="s">
        <v>57</v>
      </c>
      <c r="C648" s="29">
        <v>167977</v>
      </c>
      <c r="D648" s="11">
        <v>12792.6</v>
      </c>
      <c r="E648" s="9">
        <v>0</v>
      </c>
      <c r="F648" s="11">
        <v>58603.8</v>
      </c>
      <c r="G648" s="9">
        <f t="shared" si="251"/>
        <v>109373.2</v>
      </c>
      <c r="H648" s="11">
        <v>34.880000000000003</v>
      </c>
      <c r="I648" s="240">
        <f>MM!I31</f>
        <v>0</v>
      </c>
      <c r="J648" s="162">
        <f t="shared" si="252"/>
        <v>167977</v>
      </c>
      <c r="K648" s="169">
        <f>J648*6/100+J648</f>
        <v>178055.62</v>
      </c>
      <c r="L648" s="162">
        <f t="shared" ref="L648:L649" si="255">K648*6/100+K648</f>
        <v>188738.9572</v>
      </c>
    </row>
    <row r="649" spans="1:12" x14ac:dyDescent="0.2">
      <c r="A649" s="5" t="s">
        <v>653</v>
      </c>
      <c r="B649" s="7" t="s">
        <v>59</v>
      </c>
      <c r="C649" s="29">
        <v>662285</v>
      </c>
      <c r="D649" s="11">
        <v>31732.78</v>
      </c>
      <c r="E649" s="9">
        <v>0</v>
      </c>
      <c r="F649" s="11">
        <v>190817.48</v>
      </c>
      <c r="G649" s="9">
        <f t="shared" si="251"/>
        <v>471467.52000000002</v>
      </c>
      <c r="H649" s="11">
        <v>28.81</v>
      </c>
      <c r="I649" s="240">
        <f>C649*-15/100</f>
        <v>-99342.75</v>
      </c>
      <c r="J649" s="162">
        <f t="shared" si="252"/>
        <v>562942.25</v>
      </c>
      <c r="K649" s="169">
        <f>J649*6/100+J649</f>
        <v>596718.78500000003</v>
      </c>
      <c r="L649" s="162">
        <f t="shared" si="255"/>
        <v>632521.91210000007</v>
      </c>
    </row>
    <row r="650" spans="1:12" x14ac:dyDescent="0.2">
      <c r="A650" s="5" t="s">
        <v>655</v>
      </c>
      <c r="B650" s="7" t="s">
        <v>635</v>
      </c>
      <c r="C650" s="29">
        <v>187529</v>
      </c>
      <c r="D650" s="11">
        <v>7354.7</v>
      </c>
      <c r="E650" s="9">
        <v>0</v>
      </c>
      <c r="F650" s="11">
        <v>44727.94</v>
      </c>
      <c r="G650" s="9">
        <f t="shared" si="251"/>
        <v>142801.06</v>
      </c>
      <c r="H650" s="11">
        <v>23.85</v>
      </c>
      <c r="I650" s="240">
        <f>MM!I34</f>
        <v>0</v>
      </c>
      <c r="J650" s="162">
        <f t="shared" si="252"/>
        <v>187529</v>
      </c>
      <c r="K650" s="169"/>
      <c r="L650" s="162"/>
    </row>
    <row r="651" spans="1:12" x14ac:dyDescent="0.2">
      <c r="A651" s="5"/>
      <c r="B651" s="7"/>
      <c r="C651" s="29"/>
      <c r="D651" s="11"/>
      <c r="E651" s="9"/>
      <c r="F651" s="11"/>
      <c r="G651" s="9"/>
      <c r="H651" s="11"/>
      <c r="I651" s="240"/>
      <c r="J651" s="162"/>
      <c r="K651" s="169"/>
      <c r="L651" s="162"/>
    </row>
    <row r="652" spans="1:12" s="3" customFormat="1" ht="15" x14ac:dyDescent="0.25">
      <c r="A652" s="18"/>
      <c r="B652" s="19" t="s">
        <v>63</v>
      </c>
      <c r="C652" s="28">
        <f>SUM(C646:C651)</f>
        <v>1034265</v>
      </c>
      <c r="D652" s="36">
        <f>SUM(D646:D651)</f>
        <v>52906.479999999996</v>
      </c>
      <c r="E652" s="28">
        <f>SUM(E646:E651)</f>
        <v>0</v>
      </c>
      <c r="F652" s="36">
        <f>SUM(F646:F651)</f>
        <v>300146.22000000003</v>
      </c>
      <c r="G652" s="28">
        <f>SUM(G646:G651)</f>
        <v>734118.78</v>
      </c>
      <c r="H652" s="21">
        <v>29.02</v>
      </c>
      <c r="I652" s="243">
        <f>SUM(I646:I651)</f>
        <v>-99342.75</v>
      </c>
      <c r="J652" s="172">
        <f>SUM(J646:J651)</f>
        <v>934922.25</v>
      </c>
      <c r="K652" s="236">
        <f>SUM(K646:K651)</f>
        <v>792236.84499999997</v>
      </c>
      <c r="L652" s="172">
        <f>SUM(L646:L651)</f>
        <v>839771.05570000014</v>
      </c>
    </row>
    <row r="653" spans="1:12" s="3" customFormat="1" ht="15" x14ac:dyDescent="0.25">
      <c r="A653" s="18"/>
      <c r="B653" s="19"/>
      <c r="C653" s="28"/>
      <c r="D653" s="21"/>
      <c r="E653" s="20"/>
      <c r="F653" s="21"/>
      <c r="G653" s="20"/>
      <c r="H653" s="21"/>
      <c r="I653" s="238"/>
      <c r="J653" s="168"/>
      <c r="K653" s="178"/>
      <c r="L653" s="168"/>
    </row>
    <row r="654" spans="1:12" s="3" customFormat="1" ht="15" x14ac:dyDescent="0.25">
      <c r="A654" s="18"/>
      <c r="B654" s="19" t="s">
        <v>73</v>
      </c>
      <c r="C654" s="28">
        <f>C642+C652</f>
        <v>11952416</v>
      </c>
      <c r="D654" s="36">
        <f>D642+D652</f>
        <v>850048.85</v>
      </c>
      <c r="E654" s="28">
        <f>E642+E652</f>
        <v>23138.47</v>
      </c>
      <c r="F654" s="36">
        <f>F642+F652</f>
        <v>5144587.92</v>
      </c>
      <c r="G654" s="28">
        <f>G642+G652</f>
        <v>6784689.6100000003</v>
      </c>
      <c r="H654" s="21">
        <v>43.04</v>
      </c>
      <c r="I654" s="243">
        <f>I642+I652</f>
        <v>148001.47999999998</v>
      </c>
      <c r="J654" s="172">
        <f>J642+J652</f>
        <v>12100417.48</v>
      </c>
      <c r="K654" s="236">
        <f>K642+K652</f>
        <v>12621661.788799999</v>
      </c>
      <c r="L654" s="172">
        <f>L642+L652</f>
        <v>13372961.496128</v>
      </c>
    </row>
    <row r="655" spans="1:12" s="3" customFormat="1" ht="15" x14ac:dyDescent="0.25">
      <c r="A655" s="18"/>
      <c r="B655" s="19"/>
      <c r="C655" s="28"/>
      <c r="D655" s="21"/>
      <c r="E655" s="20"/>
      <c r="F655" s="21"/>
      <c r="G655" s="20"/>
      <c r="H655" s="21"/>
      <c r="I655" s="238"/>
      <c r="J655" s="168"/>
      <c r="K655" s="178"/>
      <c r="L655" s="168"/>
    </row>
    <row r="656" spans="1:12" s="3" customFormat="1" ht="15" x14ac:dyDescent="0.25">
      <c r="A656" s="18"/>
      <c r="B656" s="19" t="s">
        <v>74</v>
      </c>
      <c r="C656" s="28"/>
      <c r="D656" s="21"/>
      <c r="E656" s="20"/>
      <c r="F656" s="21"/>
      <c r="G656" s="20"/>
      <c r="H656" s="21"/>
      <c r="I656" s="238"/>
      <c r="J656" s="168"/>
      <c r="K656" s="178"/>
      <c r="L656" s="168"/>
    </row>
    <row r="657" spans="1:12" s="3" customFormat="1" ht="15" x14ac:dyDescent="0.25">
      <c r="A657" s="18"/>
      <c r="B657" s="19"/>
      <c r="C657" s="28"/>
      <c r="D657" s="21"/>
      <c r="E657" s="20"/>
      <c r="F657" s="21"/>
      <c r="G657" s="20"/>
      <c r="H657" s="21"/>
      <c r="I657" s="238"/>
      <c r="J657" s="168"/>
      <c r="K657" s="178"/>
      <c r="L657" s="168"/>
    </row>
    <row r="658" spans="1:12" s="3" customFormat="1" ht="15" x14ac:dyDescent="0.25">
      <c r="A658" s="18"/>
      <c r="B658" s="19" t="s">
        <v>75</v>
      </c>
      <c r="C658" s="28"/>
      <c r="D658" s="21"/>
      <c r="E658" s="20"/>
      <c r="F658" s="21"/>
      <c r="G658" s="20"/>
      <c r="H658" s="21"/>
      <c r="I658" s="238"/>
      <c r="J658" s="168"/>
      <c r="K658" s="178"/>
      <c r="L658" s="168"/>
    </row>
    <row r="659" spans="1:12" s="3" customFormat="1" ht="15" x14ac:dyDescent="0.25">
      <c r="A659" s="18"/>
      <c r="B659" s="19"/>
      <c r="C659" s="28"/>
      <c r="D659" s="21"/>
      <c r="E659" s="20"/>
      <c r="F659" s="21"/>
      <c r="G659" s="20"/>
      <c r="H659" s="21"/>
      <c r="I659" s="238"/>
      <c r="J659" s="168"/>
      <c r="K659" s="178"/>
      <c r="L659" s="168"/>
    </row>
    <row r="660" spans="1:12" x14ac:dyDescent="0.2">
      <c r="A660" s="5" t="s">
        <v>656</v>
      </c>
      <c r="B660" s="7" t="s">
        <v>77</v>
      </c>
      <c r="C660" s="29">
        <v>120000</v>
      </c>
      <c r="D660" s="11">
        <v>6882.37</v>
      </c>
      <c r="E660" s="9">
        <v>9745.0400000000009</v>
      </c>
      <c r="F660" s="11">
        <v>45977.46</v>
      </c>
      <c r="G660" s="9">
        <f t="shared" ref="G660:G671" si="256">C660-E660-F660</f>
        <v>64277.499999999993</v>
      </c>
      <c r="H660" s="11">
        <v>38.31</v>
      </c>
      <c r="I660" s="240">
        <f>MM!I44</f>
        <v>0</v>
      </c>
      <c r="J660" s="162">
        <f t="shared" ref="J660:J671" si="257">C660+I660</f>
        <v>120000</v>
      </c>
      <c r="K660" s="169">
        <f t="shared" ref="K660:K671" si="258">J660*6/100+J660</f>
        <v>127200</v>
      </c>
      <c r="L660" s="162">
        <f t="shared" ref="L660" si="259">K660*6/100+K660</f>
        <v>134832</v>
      </c>
    </row>
    <row r="661" spans="1:12" x14ac:dyDescent="0.2">
      <c r="A661" s="5" t="s">
        <v>657</v>
      </c>
      <c r="B661" s="7" t="s">
        <v>530</v>
      </c>
      <c r="C661" s="29">
        <v>70000</v>
      </c>
      <c r="D661" s="11">
        <v>2512.8000000000002</v>
      </c>
      <c r="E661" s="9">
        <v>6179.82</v>
      </c>
      <c r="F661" s="11">
        <v>26529.57</v>
      </c>
      <c r="G661" s="9">
        <f t="shared" si="256"/>
        <v>37290.61</v>
      </c>
      <c r="H661" s="11">
        <v>37.89</v>
      </c>
      <c r="I661" s="240">
        <f>MM!I45</f>
        <v>0</v>
      </c>
      <c r="J661" s="162">
        <f t="shared" si="257"/>
        <v>70000</v>
      </c>
      <c r="K661" s="169">
        <f t="shared" si="258"/>
        <v>74200</v>
      </c>
      <c r="L661" s="162">
        <f t="shared" ref="L661" si="260">K661*6/100+K661</f>
        <v>78652</v>
      </c>
    </row>
    <row r="662" spans="1:12" x14ac:dyDescent="0.2">
      <c r="A662" s="5" t="s">
        <v>658</v>
      </c>
      <c r="B662" s="7" t="s">
        <v>89</v>
      </c>
      <c r="C662" s="29">
        <v>250000</v>
      </c>
      <c r="D662" s="11">
        <v>8923.2000000000007</v>
      </c>
      <c r="E662" s="9">
        <v>0</v>
      </c>
      <c r="F662" s="11">
        <v>126119.21</v>
      </c>
      <c r="G662" s="9">
        <f t="shared" si="256"/>
        <v>123880.79</v>
      </c>
      <c r="H662" s="11">
        <v>50.44</v>
      </c>
      <c r="I662" s="240">
        <f>MM!I46</f>
        <v>60000</v>
      </c>
      <c r="J662" s="162">
        <f t="shared" si="257"/>
        <v>310000</v>
      </c>
      <c r="K662" s="169">
        <f t="shared" si="258"/>
        <v>328600</v>
      </c>
      <c r="L662" s="162">
        <f t="shared" ref="L662" si="261">K662*6/100+K662</f>
        <v>348316</v>
      </c>
    </row>
    <row r="663" spans="1:12" x14ac:dyDescent="0.2">
      <c r="A663" s="5" t="s">
        <v>659</v>
      </c>
      <c r="B663" s="7" t="s">
        <v>93</v>
      </c>
      <c r="C663" s="29">
        <v>2986617</v>
      </c>
      <c r="D663" s="11">
        <v>591126.91</v>
      </c>
      <c r="E663" s="9">
        <v>0</v>
      </c>
      <c r="F663" s="11">
        <v>1331979.31</v>
      </c>
      <c r="G663" s="9">
        <f t="shared" si="256"/>
        <v>1654637.69</v>
      </c>
      <c r="H663" s="11">
        <v>44.59</v>
      </c>
      <c r="I663" s="240">
        <f>MM!I47</f>
        <v>-400000</v>
      </c>
      <c r="J663" s="162">
        <f t="shared" si="257"/>
        <v>2586617</v>
      </c>
      <c r="K663" s="169">
        <f t="shared" si="258"/>
        <v>2741814.02</v>
      </c>
      <c r="L663" s="162">
        <f t="shared" ref="L663" si="262">K663*6/100+K663</f>
        <v>2906322.8612000002</v>
      </c>
    </row>
    <row r="664" spans="1:12" x14ac:dyDescent="0.2">
      <c r="A664" s="5" t="s">
        <v>660</v>
      </c>
      <c r="B664" s="7" t="s">
        <v>499</v>
      </c>
      <c r="C664" s="29">
        <v>52900</v>
      </c>
      <c r="D664" s="11">
        <v>3150</v>
      </c>
      <c r="E664" s="9">
        <v>1624</v>
      </c>
      <c r="F664" s="11">
        <v>3150</v>
      </c>
      <c r="G664" s="9">
        <f t="shared" si="256"/>
        <v>48126</v>
      </c>
      <c r="H664" s="11">
        <v>5.95</v>
      </c>
      <c r="I664" s="240">
        <f>MM!I48</f>
        <v>0</v>
      </c>
      <c r="J664" s="162">
        <f t="shared" si="257"/>
        <v>52900</v>
      </c>
      <c r="K664" s="169">
        <f t="shared" si="258"/>
        <v>56074</v>
      </c>
      <c r="L664" s="162">
        <f t="shared" ref="L664" si="263">K664*6/100+K664</f>
        <v>59438.44</v>
      </c>
    </row>
    <row r="665" spans="1:12" x14ac:dyDescent="0.2">
      <c r="A665" s="5" t="s">
        <v>661</v>
      </c>
      <c r="B665" s="7" t="s">
        <v>166</v>
      </c>
      <c r="C665" s="29">
        <v>600000</v>
      </c>
      <c r="D665" s="11">
        <v>240948.19</v>
      </c>
      <c r="E665" s="9">
        <v>0</v>
      </c>
      <c r="F665" s="11">
        <v>240948.19</v>
      </c>
      <c r="G665" s="9">
        <f t="shared" si="256"/>
        <v>359051.81</v>
      </c>
      <c r="H665" s="11">
        <v>40.15</v>
      </c>
      <c r="I665" s="240">
        <f>MM!I49</f>
        <v>130000</v>
      </c>
      <c r="J665" s="162">
        <f t="shared" si="257"/>
        <v>730000</v>
      </c>
      <c r="K665" s="169">
        <f t="shared" si="258"/>
        <v>773800</v>
      </c>
      <c r="L665" s="162">
        <f t="shared" ref="L665" si="264">K665*6/100+K665</f>
        <v>820228</v>
      </c>
    </row>
    <row r="666" spans="1:12" x14ac:dyDescent="0.2">
      <c r="A666" s="5" t="s">
        <v>662</v>
      </c>
      <c r="B666" s="7" t="s">
        <v>197</v>
      </c>
      <c r="C666" s="29">
        <v>300000</v>
      </c>
      <c r="D666" s="11">
        <v>0</v>
      </c>
      <c r="E666" s="9">
        <v>0</v>
      </c>
      <c r="F666" s="11">
        <v>8172.45</v>
      </c>
      <c r="G666" s="9">
        <f t="shared" si="256"/>
        <v>291827.55</v>
      </c>
      <c r="H666" s="11">
        <v>2.72</v>
      </c>
      <c r="I666" s="240">
        <f>MM!I50</f>
        <v>-50000</v>
      </c>
      <c r="J666" s="162">
        <f t="shared" si="257"/>
        <v>250000</v>
      </c>
      <c r="K666" s="169">
        <f t="shared" si="258"/>
        <v>265000</v>
      </c>
      <c r="L666" s="162">
        <f t="shared" ref="L666" si="265">K666*6/100+K666</f>
        <v>280900</v>
      </c>
    </row>
    <row r="667" spans="1:12" x14ac:dyDescent="0.2">
      <c r="A667" s="5" t="s">
        <v>663</v>
      </c>
      <c r="B667" s="7" t="s">
        <v>664</v>
      </c>
      <c r="C667" s="29">
        <v>250000</v>
      </c>
      <c r="D667" s="11">
        <v>99061.61</v>
      </c>
      <c r="E667" s="9">
        <v>86471.4</v>
      </c>
      <c r="F667" s="11">
        <v>99061.61</v>
      </c>
      <c r="G667" s="9">
        <f t="shared" si="256"/>
        <v>64466.990000000005</v>
      </c>
      <c r="H667" s="11">
        <v>39.619999999999997</v>
      </c>
      <c r="I667" s="240">
        <f>MM!I51</f>
        <v>231769</v>
      </c>
      <c r="J667" s="162">
        <f t="shared" si="257"/>
        <v>481769</v>
      </c>
      <c r="K667" s="169">
        <f t="shared" si="258"/>
        <v>510675.14</v>
      </c>
      <c r="L667" s="162">
        <f t="shared" ref="L667" si="266">K667*6/100+K667</f>
        <v>541315.64840000006</v>
      </c>
    </row>
    <row r="668" spans="1:12" s="323" customFormat="1" x14ac:dyDescent="0.2">
      <c r="A668" s="319"/>
      <c r="B668" s="320" t="s">
        <v>205</v>
      </c>
      <c r="C668" s="321">
        <v>0</v>
      </c>
      <c r="D668" s="322">
        <v>0</v>
      </c>
      <c r="E668" s="241">
        <v>0</v>
      </c>
      <c r="F668" s="322">
        <v>0</v>
      </c>
      <c r="G668" s="241">
        <f t="shared" si="256"/>
        <v>0</v>
      </c>
      <c r="H668" s="322"/>
      <c r="I668" s="240">
        <f>MM!I52</f>
        <v>40000</v>
      </c>
      <c r="J668" s="109">
        <f t="shared" si="257"/>
        <v>40000</v>
      </c>
      <c r="K668" s="229">
        <f t="shared" si="258"/>
        <v>42400</v>
      </c>
      <c r="L668" s="109">
        <f t="shared" ref="L668" si="267">K668*6/100+K668</f>
        <v>44944</v>
      </c>
    </row>
    <row r="669" spans="1:12" x14ac:dyDescent="0.2">
      <c r="A669" s="5" t="s">
        <v>665</v>
      </c>
      <c r="B669" s="7" t="s">
        <v>207</v>
      </c>
      <c r="C669" s="29">
        <v>800000</v>
      </c>
      <c r="D669" s="11">
        <v>22753.51</v>
      </c>
      <c r="E669" s="9">
        <v>7060</v>
      </c>
      <c r="F669" s="11">
        <v>216785.51</v>
      </c>
      <c r="G669" s="9">
        <f t="shared" si="256"/>
        <v>576154.49</v>
      </c>
      <c r="H669" s="11">
        <v>27.09</v>
      </c>
      <c r="I669" s="240">
        <f>MM!I53</f>
        <v>0</v>
      </c>
      <c r="J669" s="162">
        <f t="shared" si="257"/>
        <v>800000</v>
      </c>
      <c r="K669" s="169">
        <f t="shared" si="258"/>
        <v>848000</v>
      </c>
      <c r="L669" s="162">
        <f t="shared" ref="L669" si="268">K669*6/100+K669</f>
        <v>898880</v>
      </c>
    </row>
    <row r="670" spans="1:12" x14ac:dyDescent="0.2">
      <c r="A670" s="5" t="s">
        <v>666</v>
      </c>
      <c r="B670" s="7" t="s">
        <v>217</v>
      </c>
      <c r="C670" s="29">
        <v>2000</v>
      </c>
      <c r="D670" s="11">
        <v>0</v>
      </c>
      <c r="E670" s="9">
        <v>0</v>
      </c>
      <c r="F670" s="11">
        <v>1979.69</v>
      </c>
      <c r="G670" s="9">
        <f t="shared" si="256"/>
        <v>20.309999999999945</v>
      </c>
      <c r="H670" s="11">
        <v>98.98</v>
      </c>
      <c r="I670" s="240">
        <f>MM!I54</f>
        <v>0</v>
      </c>
      <c r="J670" s="162">
        <f t="shared" si="257"/>
        <v>2000</v>
      </c>
      <c r="K670" s="169">
        <f t="shared" si="258"/>
        <v>2120</v>
      </c>
      <c r="L670" s="162">
        <f t="shared" ref="L670" si="269">K670*6/100+K670</f>
        <v>2247.1999999999998</v>
      </c>
    </row>
    <row r="671" spans="1:12" x14ac:dyDescent="0.2">
      <c r="A671" s="5" t="s">
        <v>667</v>
      </c>
      <c r="B671" s="7" t="s">
        <v>262</v>
      </c>
      <c r="C671" s="29">
        <v>15000</v>
      </c>
      <c r="D671" s="11">
        <v>0</v>
      </c>
      <c r="E671" s="9">
        <v>0</v>
      </c>
      <c r="F671" s="11">
        <v>0</v>
      </c>
      <c r="G671" s="9">
        <f t="shared" si="256"/>
        <v>15000</v>
      </c>
      <c r="H671" s="11">
        <v>0</v>
      </c>
      <c r="I671" s="240">
        <f>MM!I55</f>
        <v>0</v>
      </c>
      <c r="J671" s="162">
        <f t="shared" si="257"/>
        <v>15000</v>
      </c>
      <c r="K671" s="169">
        <f t="shared" si="258"/>
        <v>15900</v>
      </c>
      <c r="L671" s="162">
        <f t="shared" ref="L671" si="270">K671*6/100+K671</f>
        <v>16854</v>
      </c>
    </row>
    <row r="672" spans="1:12" x14ac:dyDescent="0.2">
      <c r="A672" s="5"/>
      <c r="B672" s="7"/>
      <c r="C672" s="29"/>
      <c r="D672" s="11"/>
      <c r="E672" s="9"/>
      <c r="F672" s="11"/>
      <c r="G672" s="9"/>
      <c r="H672" s="11"/>
      <c r="I672" s="240"/>
      <c r="J672" s="162"/>
      <c r="K672" s="169"/>
      <c r="L672" s="162"/>
    </row>
    <row r="673" spans="1:12" s="3" customFormat="1" ht="15" x14ac:dyDescent="0.25">
      <c r="A673" s="18"/>
      <c r="B673" s="19" t="s">
        <v>287</v>
      </c>
      <c r="C673" s="28">
        <f>SUM(C660:C672)</f>
        <v>5446517</v>
      </c>
      <c r="D673" s="36">
        <f t="shared" ref="D673:G673" si="271">SUM(D660:D672)</f>
        <v>975358.59</v>
      </c>
      <c r="E673" s="28">
        <f t="shared" si="271"/>
        <v>111080.26</v>
      </c>
      <c r="F673" s="36">
        <f t="shared" si="271"/>
        <v>2100703</v>
      </c>
      <c r="G673" s="28">
        <f t="shared" si="271"/>
        <v>3234733.7399999998</v>
      </c>
      <c r="H673" s="21">
        <v>38.56</v>
      </c>
      <c r="I673" s="243">
        <f t="shared" ref="I673" si="272">SUM(I660:I672)</f>
        <v>11769</v>
      </c>
      <c r="J673" s="172">
        <f t="shared" ref="J673" si="273">SUM(J660:J672)</f>
        <v>5458286</v>
      </c>
      <c r="K673" s="236">
        <f t="shared" ref="K673" si="274">SUM(K660:K672)</f>
        <v>5785783.1599999992</v>
      </c>
      <c r="L673" s="172">
        <f t="shared" ref="L673" si="275">SUM(L660:L672)</f>
        <v>6132930.1496000011</v>
      </c>
    </row>
    <row r="674" spans="1:12" s="3" customFormat="1" ht="15" x14ac:dyDescent="0.25">
      <c r="A674" s="18"/>
      <c r="B674" s="19"/>
      <c r="C674" s="28"/>
      <c r="D674" s="21"/>
      <c r="E674" s="20"/>
      <c r="F674" s="21"/>
      <c r="G674" s="20"/>
      <c r="H674" s="21"/>
      <c r="I674" s="238"/>
      <c r="J674" s="168"/>
      <c r="K674" s="178"/>
      <c r="L674" s="168"/>
    </row>
    <row r="675" spans="1:12" s="3" customFormat="1" ht="15" x14ac:dyDescent="0.25">
      <c r="A675" s="18"/>
      <c r="B675" s="19" t="s">
        <v>292</v>
      </c>
      <c r="C675" s="28">
        <f>SUM(C673)</f>
        <v>5446517</v>
      </c>
      <c r="D675" s="36">
        <f t="shared" ref="D675:L675" si="276">SUM(D673)</f>
        <v>975358.59</v>
      </c>
      <c r="E675" s="28">
        <f t="shared" si="276"/>
        <v>111080.26</v>
      </c>
      <c r="F675" s="36">
        <f t="shared" si="276"/>
        <v>2100703</v>
      </c>
      <c r="G675" s="28">
        <f t="shared" si="276"/>
        <v>3234733.7399999998</v>
      </c>
      <c r="H675" s="21">
        <v>38.56</v>
      </c>
      <c r="I675" s="243">
        <f t="shared" si="276"/>
        <v>11769</v>
      </c>
      <c r="J675" s="172">
        <f t="shared" si="276"/>
        <v>5458286</v>
      </c>
      <c r="K675" s="236">
        <f t="shared" si="276"/>
        <v>5785783.1599999992</v>
      </c>
      <c r="L675" s="172">
        <f t="shared" si="276"/>
        <v>6132930.1496000011</v>
      </c>
    </row>
    <row r="676" spans="1:12" s="3" customFormat="1" ht="15" x14ac:dyDescent="0.25">
      <c r="A676" s="18"/>
      <c r="B676" s="19"/>
      <c r="C676" s="28"/>
      <c r="D676" s="21"/>
      <c r="E676" s="20"/>
      <c r="F676" s="21"/>
      <c r="G676" s="20"/>
      <c r="H676" s="21"/>
      <c r="I676" s="238"/>
      <c r="J676" s="168"/>
      <c r="K676" s="178"/>
      <c r="L676" s="168"/>
    </row>
    <row r="677" spans="1:12" s="3" customFormat="1" ht="15" x14ac:dyDescent="0.25">
      <c r="A677" s="18"/>
      <c r="B677" s="19" t="s">
        <v>338</v>
      </c>
      <c r="C677" s="28">
        <f>C654+C675</f>
        <v>17398933</v>
      </c>
      <c r="D677" s="36">
        <f t="shared" ref="D677:L677" si="277">D654+D675</f>
        <v>1825407.44</v>
      </c>
      <c r="E677" s="28">
        <f t="shared" si="277"/>
        <v>134218.72999999998</v>
      </c>
      <c r="F677" s="36">
        <f t="shared" si="277"/>
        <v>7245290.9199999999</v>
      </c>
      <c r="G677" s="28">
        <f t="shared" si="277"/>
        <v>10019423.35</v>
      </c>
      <c r="H677" s="21">
        <v>41.64</v>
      </c>
      <c r="I677" s="243">
        <f t="shared" si="277"/>
        <v>159770.47999999998</v>
      </c>
      <c r="J677" s="172">
        <f t="shared" si="277"/>
        <v>17558703.48</v>
      </c>
      <c r="K677" s="236">
        <f t="shared" si="277"/>
        <v>18407444.948799998</v>
      </c>
      <c r="L677" s="172">
        <f t="shared" si="277"/>
        <v>19505891.645728</v>
      </c>
    </row>
    <row r="678" spans="1:12" s="3" customFormat="1" ht="15" x14ac:dyDescent="0.25">
      <c r="A678" s="18"/>
      <c r="B678" s="19"/>
      <c r="C678" s="28"/>
      <c r="D678" s="21"/>
      <c r="E678" s="20"/>
      <c r="F678" s="21"/>
      <c r="G678" s="20"/>
      <c r="H678" s="21"/>
      <c r="I678" s="238"/>
      <c r="J678" s="168"/>
      <c r="K678" s="178"/>
      <c r="L678" s="168"/>
    </row>
    <row r="679" spans="1:12" s="3" customFormat="1" ht="15" x14ac:dyDescent="0.25">
      <c r="A679" s="18"/>
      <c r="B679" s="19" t="s">
        <v>339</v>
      </c>
      <c r="C679" s="28">
        <f>C677</f>
        <v>17398933</v>
      </c>
      <c r="D679" s="36">
        <f t="shared" ref="D679:L679" si="278">D677</f>
        <v>1825407.44</v>
      </c>
      <c r="E679" s="28">
        <f t="shared" si="278"/>
        <v>134218.72999999998</v>
      </c>
      <c r="F679" s="36">
        <f t="shared" si="278"/>
        <v>7245290.9199999999</v>
      </c>
      <c r="G679" s="28">
        <f t="shared" si="278"/>
        <v>10019423.35</v>
      </c>
      <c r="H679" s="21">
        <v>41.64</v>
      </c>
      <c r="I679" s="243">
        <f t="shared" si="278"/>
        <v>159770.47999999998</v>
      </c>
      <c r="J679" s="172">
        <f t="shared" si="278"/>
        <v>17558703.48</v>
      </c>
      <c r="K679" s="236">
        <f t="shared" si="278"/>
        <v>18407444.948799998</v>
      </c>
      <c r="L679" s="172">
        <f t="shared" si="278"/>
        <v>19505891.645728</v>
      </c>
    </row>
    <row r="680" spans="1:12" s="3" customFormat="1" ht="15" x14ac:dyDescent="0.25">
      <c r="A680" s="18"/>
      <c r="B680" s="19"/>
      <c r="C680" s="28"/>
      <c r="D680" s="21"/>
      <c r="E680" s="20"/>
      <c r="F680" s="21"/>
      <c r="G680" s="20"/>
      <c r="H680" s="21"/>
      <c r="I680" s="238"/>
      <c r="J680" s="168"/>
      <c r="K680" s="178"/>
      <c r="L680" s="168"/>
    </row>
    <row r="681" spans="1:12" s="3" customFormat="1" ht="15" x14ac:dyDescent="0.25">
      <c r="A681" s="18"/>
      <c r="B681" s="19" t="s">
        <v>340</v>
      </c>
      <c r="C681" s="28"/>
      <c r="D681" s="21"/>
      <c r="E681" s="20"/>
      <c r="F681" s="21"/>
      <c r="G681" s="20"/>
      <c r="H681" s="21"/>
      <c r="I681" s="238"/>
      <c r="J681" s="168"/>
      <c r="K681" s="178"/>
      <c r="L681" s="168"/>
    </row>
    <row r="682" spans="1:12" s="3" customFormat="1" ht="15" x14ac:dyDescent="0.25">
      <c r="A682" s="18"/>
      <c r="B682" s="19"/>
      <c r="C682" s="28"/>
      <c r="D682" s="21"/>
      <c r="E682" s="20"/>
      <c r="F682" s="21"/>
      <c r="G682" s="20"/>
      <c r="H682" s="21"/>
      <c r="I682" s="238"/>
      <c r="J682" s="168"/>
      <c r="K682" s="178"/>
      <c r="L682" s="168"/>
    </row>
    <row r="683" spans="1:12" s="3" customFormat="1" ht="13.5" customHeight="1" x14ac:dyDescent="0.25">
      <c r="A683" s="18"/>
      <c r="B683" s="19" t="s">
        <v>431</v>
      </c>
      <c r="C683" s="28"/>
      <c r="D683" s="21"/>
      <c r="E683" s="20"/>
      <c r="F683" s="21"/>
      <c r="G683" s="20"/>
      <c r="H683" s="21"/>
      <c r="I683" s="238"/>
      <c r="J683" s="168"/>
      <c r="K683" s="178"/>
      <c r="L683" s="168"/>
    </row>
    <row r="684" spans="1:12" s="3" customFormat="1" ht="13.5" customHeight="1" x14ac:dyDescent="0.25">
      <c r="A684" s="18"/>
      <c r="B684" s="19"/>
      <c r="C684" s="28"/>
      <c r="D684" s="21"/>
      <c r="E684" s="20"/>
      <c r="F684" s="21"/>
      <c r="G684" s="20"/>
      <c r="H684" s="21"/>
      <c r="I684" s="238"/>
      <c r="J684" s="168"/>
      <c r="K684" s="178"/>
      <c r="L684" s="168"/>
    </row>
    <row r="685" spans="1:12" x14ac:dyDescent="0.2">
      <c r="A685" s="5" t="s">
        <v>668</v>
      </c>
      <c r="B685" s="7" t="s">
        <v>433</v>
      </c>
      <c r="C685" s="29">
        <f>C679</f>
        <v>17398933</v>
      </c>
      <c r="D685" s="37">
        <f t="shared" ref="D685:L685" si="279">D679</f>
        <v>1825407.44</v>
      </c>
      <c r="E685" s="29">
        <f t="shared" si="279"/>
        <v>134218.72999999998</v>
      </c>
      <c r="F685" s="37">
        <f t="shared" si="279"/>
        <v>7245290.9199999999</v>
      </c>
      <c r="G685" s="29">
        <f t="shared" si="279"/>
        <v>10019423.35</v>
      </c>
      <c r="H685" s="11">
        <v>41.64</v>
      </c>
      <c r="I685" s="239">
        <f t="shared" si="279"/>
        <v>159770.47999999998</v>
      </c>
      <c r="J685" s="116">
        <f t="shared" si="279"/>
        <v>17558703.48</v>
      </c>
      <c r="K685" s="246">
        <f t="shared" si="279"/>
        <v>18407444.948799998</v>
      </c>
      <c r="L685" s="116">
        <f t="shared" si="279"/>
        <v>19505891.645728</v>
      </c>
    </row>
    <row r="686" spans="1:12" x14ac:dyDescent="0.2">
      <c r="A686" s="5" t="s">
        <v>669</v>
      </c>
      <c r="B686" s="7" t="s">
        <v>429</v>
      </c>
      <c r="C686" s="29">
        <v>0</v>
      </c>
      <c r="D686" s="11">
        <v>0</v>
      </c>
      <c r="E686" s="9">
        <v>0</v>
      </c>
      <c r="F686" s="11">
        <v>0</v>
      </c>
      <c r="G686" s="9">
        <v>0</v>
      </c>
      <c r="H686" s="11">
        <v>0</v>
      </c>
      <c r="I686" s="240"/>
      <c r="J686" s="162"/>
      <c r="K686" s="169"/>
      <c r="L686" s="162"/>
    </row>
    <row r="687" spans="1:12" x14ac:dyDescent="0.2">
      <c r="A687" s="5"/>
      <c r="B687" s="7"/>
      <c r="C687" s="29"/>
      <c r="D687" s="11"/>
      <c r="E687" s="9"/>
      <c r="F687" s="11"/>
      <c r="G687" s="9"/>
      <c r="H687" s="11"/>
      <c r="I687" s="240"/>
      <c r="J687" s="162"/>
      <c r="K687" s="169"/>
      <c r="L687" s="162"/>
    </row>
    <row r="688" spans="1:12" s="3" customFormat="1" ht="15" x14ac:dyDescent="0.25">
      <c r="A688" s="18"/>
      <c r="B688" s="19" t="s">
        <v>435</v>
      </c>
      <c r="C688" s="28">
        <f>C685+C686</f>
        <v>17398933</v>
      </c>
      <c r="D688" s="36">
        <f t="shared" ref="D688:L688" si="280">D685+D686</f>
        <v>1825407.44</v>
      </c>
      <c r="E688" s="28">
        <f t="shared" si="280"/>
        <v>134218.72999999998</v>
      </c>
      <c r="F688" s="36">
        <f t="shared" si="280"/>
        <v>7245290.9199999999</v>
      </c>
      <c r="G688" s="28">
        <f t="shared" si="280"/>
        <v>10019423.35</v>
      </c>
      <c r="H688" s="21">
        <v>41.64</v>
      </c>
      <c r="I688" s="243">
        <f t="shared" si="280"/>
        <v>159770.47999999998</v>
      </c>
      <c r="J688" s="172">
        <f t="shared" si="280"/>
        <v>17558703.48</v>
      </c>
      <c r="K688" s="236">
        <f t="shared" si="280"/>
        <v>18407444.948799998</v>
      </c>
      <c r="L688" s="172">
        <f t="shared" si="280"/>
        <v>19505891.645728</v>
      </c>
    </row>
    <row r="689" spans="1:12" s="3" customFormat="1" ht="15" x14ac:dyDescent="0.25">
      <c r="A689" s="18"/>
      <c r="B689" s="19"/>
      <c r="C689" s="28"/>
      <c r="D689" s="21"/>
      <c r="E689" s="20"/>
      <c r="F689" s="21"/>
      <c r="G689" s="20"/>
      <c r="H689" s="21"/>
      <c r="I689" s="238"/>
      <c r="J689" s="168"/>
      <c r="K689" s="178"/>
      <c r="L689" s="168"/>
    </row>
    <row r="690" spans="1:12" s="3" customFormat="1" ht="15" x14ac:dyDescent="0.25">
      <c r="A690" s="18"/>
      <c r="B690" s="19" t="s">
        <v>436</v>
      </c>
      <c r="C690" s="28">
        <f>C688</f>
        <v>17398933</v>
      </c>
      <c r="D690" s="36">
        <f t="shared" ref="D690:G690" si="281">D688</f>
        <v>1825407.44</v>
      </c>
      <c r="E690" s="28">
        <f t="shared" si="281"/>
        <v>134218.72999999998</v>
      </c>
      <c r="F690" s="36">
        <f t="shared" si="281"/>
        <v>7245290.9199999999</v>
      </c>
      <c r="G690" s="28">
        <f t="shared" si="281"/>
        <v>10019423.35</v>
      </c>
      <c r="H690" s="21">
        <v>41.64</v>
      </c>
      <c r="I690" s="243">
        <f t="shared" ref="I690:L690" si="282">I688</f>
        <v>159770.47999999998</v>
      </c>
      <c r="J690" s="172">
        <f t="shared" si="282"/>
        <v>17558703.48</v>
      </c>
      <c r="K690" s="236">
        <f t="shared" si="282"/>
        <v>18407444.948799998</v>
      </c>
      <c r="L690" s="172">
        <f t="shared" si="282"/>
        <v>19505891.645728</v>
      </c>
    </row>
    <row r="691" spans="1:12" s="3" customFormat="1" ht="15" x14ac:dyDescent="0.25">
      <c r="A691" s="18"/>
      <c r="B691" s="19"/>
      <c r="C691" s="28"/>
      <c r="D691" s="21"/>
      <c r="E691" s="20"/>
      <c r="F691" s="21"/>
      <c r="G691" s="20"/>
      <c r="H691" s="21"/>
      <c r="I691" s="238"/>
      <c r="J691" s="168"/>
      <c r="K691" s="178"/>
      <c r="L691" s="168"/>
    </row>
    <row r="692" spans="1:12" s="3" customFormat="1" ht="15" x14ac:dyDescent="0.25">
      <c r="A692" s="18"/>
      <c r="B692" s="19" t="s">
        <v>437</v>
      </c>
      <c r="C692" s="28"/>
      <c r="D692" s="21"/>
      <c r="E692" s="20"/>
      <c r="F692" s="21"/>
      <c r="G692" s="20"/>
      <c r="H692" s="21"/>
      <c r="I692" s="238"/>
      <c r="J692" s="168"/>
      <c r="K692" s="178"/>
      <c r="L692" s="168"/>
    </row>
    <row r="693" spans="1:12" s="3" customFormat="1" ht="15" x14ac:dyDescent="0.25">
      <c r="A693" s="18"/>
      <c r="B693" s="19"/>
      <c r="C693" s="28"/>
      <c r="D693" s="21"/>
      <c r="E693" s="20"/>
      <c r="F693" s="21"/>
      <c r="G693" s="20"/>
      <c r="H693" s="21"/>
      <c r="I693" s="238"/>
      <c r="J693" s="168"/>
      <c r="K693" s="178"/>
      <c r="L693" s="168"/>
    </row>
    <row r="694" spans="1:12" x14ac:dyDescent="0.2">
      <c r="A694" s="5" t="s">
        <v>670</v>
      </c>
      <c r="B694" s="7" t="s">
        <v>441</v>
      </c>
      <c r="C694" s="29">
        <v>100000</v>
      </c>
      <c r="D694" s="11">
        <v>0</v>
      </c>
      <c r="E694" s="9">
        <v>25470</v>
      </c>
      <c r="F694" s="11">
        <v>0</v>
      </c>
      <c r="G694" s="9">
        <v>100000</v>
      </c>
      <c r="H694" s="11">
        <v>0</v>
      </c>
      <c r="I694" s="240">
        <f>MM!I78</f>
        <v>-30000</v>
      </c>
      <c r="J694" s="162">
        <f>C694+I694</f>
        <v>70000</v>
      </c>
      <c r="K694" s="169"/>
      <c r="L694" s="162"/>
    </row>
    <row r="695" spans="1:12" x14ac:dyDescent="0.2">
      <c r="A695" s="5"/>
      <c r="B695" s="7"/>
      <c r="C695" s="29"/>
      <c r="D695" s="11"/>
      <c r="E695" s="9"/>
      <c r="F695" s="11"/>
      <c r="G695" s="9"/>
      <c r="H695" s="11"/>
      <c r="I695" s="240"/>
      <c r="J695" s="162"/>
      <c r="K695" s="169"/>
      <c r="L695" s="162"/>
    </row>
    <row r="696" spans="1:12" s="3" customFormat="1" ht="15" x14ac:dyDescent="0.25">
      <c r="A696" s="18"/>
      <c r="B696" s="19" t="s">
        <v>471</v>
      </c>
      <c r="C696" s="28">
        <f>SUM(C694:C695)</f>
        <v>100000</v>
      </c>
      <c r="D696" s="36">
        <f t="shared" ref="D696:G696" si="283">SUM(D694:D695)</f>
        <v>0</v>
      </c>
      <c r="E696" s="28">
        <f t="shared" si="283"/>
        <v>25470</v>
      </c>
      <c r="F696" s="36">
        <f t="shared" si="283"/>
        <v>0</v>
      </c>
      <c r="G696" s="28">
        <f t="shared" si="283"/>
        <v>100000</v>
      </c>
      <c r="H696" s="21">
        <v>0</v>
      </c>
      <c r="I696" s="243">
        <f t="shared" ref="I696" si="284">SUM(I694:I695)</f>
        <v>-30000</v>
      </c>
      <c r="J696" s="172">
        <f t="shared" ref="J696" si="285">SUM(J694:J695)</f>
        <v>70000</v>
      </c>
      <c r="K696" s="236">
        <f t="shared" ref="K696" si="286">SUM(K694:K695)</f>
        <v>0</v>
      </c>
      <c r="L696" s="172">
        <f t="shared" ref="L696" si="287">SUM(L694:L695)</f>
        <v>0</v>
      </c>
    </row>
    <row r="697" spans="1:12" s="3" customFormat="1" ht="15" x14ac:dyDescent="0.25">
      <c r="A697" s="18"/>
      <c r="B697" s="19"/>
      <c r="C697" s="28"/>
      <c r="D697" s="21"/>
      <c r="E697" s="20"/>
      <c r="F697" s="21"/>
      <c r="G697" s="20"/>
      <c r="H697" s="21"/>
      <c r="I697" s="238"/>
      <c r="J697" s="168"/>
      <c r="K697" s="178"/>
      <c r="L697" s="168"/>
    </row>
    <row r="698" spans="1:12" s="3" customFormat="1" ht="15" x14ac:dyDescent="0.25">
      <c r="A698" s="18"/>
      <c r="B698" s="19" t="s">
        <v>472</v>
      </c>
      <c r="C698" s="28">
        <f>C696</f>
        <v>100000</v>
      </c>
      <c r="D698" s="36">
        <f t="shared" ref="D698:G698" si="288">D696</f>
        <v>0</v>
      </c>
      <c r="E698" s="28">
        <f t="shared" si="288"/>
        <v>25470</v>
      </c>
      <c r="F698" s="36">
        <f t="shared" si="288"/>
        <v>0</v>
      </c>
      <c r="G698" s="28">
        <f t="shared" si="288"/>
        <v>100000</v>
      </c>
      <c r="H698" s="21">
        <v>0</v>
      </c>
      <c r="I698" s="243">
        <f t="shared" ref="I698:L698" si="289">I696</f>
        <v>-30000</v>
      </c>
      <c r="J698" s="172">
        <f t="shared" si="289"/>
        <v>70000</v>
      </c>
      <c r="K698" s="236">
        <f t="shared" si="289"/>
        <v>0</v>
      </c>
      <c r="L698" s="172">
        <f t="shared" si="289"/>
        <v>0</v>
      </c>
    </row>
    <row r="699" spans="1:12" s="3" customFormat="1" ht="15" x14ac:dyDescent="0.25">
      <c r="A699" s="18"/>
      <c r="B699" s="19"/>
      <c r="C699" s="28"/>
      <c r="D699" s="21"/>
      <c r="E699" s="20"/>
      <c r="F699" s="21"/>
      <c r="G699" s="20"/>
      <c r="H699" s="21"/>
      <c r="I699" s="238"/>
      <c r="J699" s="168"/>
      <c r="K699" s="178"/>
      <c r="L699" s="168"/>
    </row>
    <row r="700" spans="1:12" s="3" customFormat="1" ht="15" x14ac:dyDescent="0.25">
      <c r="A700" s="18"/>
      <c r="B700" s="19"/>
      <c r="C700" s="28"/>
      <c r="D700" s="21"/>
      <c r="E700" s="20"/>
      <c r="F700" s="21"/>
      <c r="G700" s="20"/>
      <c r="H700" s="21"/>
      <c r="I700" s="238"/>
      <c r="J700" s="168"/>
      <c r="K700" s="178"/>
      <c r="L700" s="168"/>
    </row>
    <row r="701" spans="1:12" s="3" customFormat="1" ht="15" x14ac:dyDescent="0.25">
      <c r="A701" s="18"/>
      <c r="B701" s="19" t="s">
        <v>671</v>
      </c>
      <c r="C701" s="28"/>
      <c r="D701" s="21"/>
      <c r="E701" s="20"/>
      <c r="F701" s="21"/>
      <c r="G701" s="20"/>
      <c r="H701" s="21"/>
      <c r="I701" s="238"/>
      <c r="J701" s="168"/>
      <c r="K701" s="178"/>
      <c r="L701" s="168"/>
    </row>
    <row r="702" spans="1:12" s="3" customFormat="1" ht="15" x14ac:dyDescent="0.25">
      <c r="A702" s="18"/>
      <c r="B702" s="19"/>
      <c r="C702" s="28"/>
      <c r="D702" s="21"/>
      <c r="E702" s="20"/>
      <c r="F702" s="21"/>
      <c r="G702" s="20"/>
      <c r="H702" s="21"/>
      <c r="I702" s="238"/>
      <c r="J702" s="168"/>
      <c r="K702" s="178"/>
      <c r="L702" s="168"/>
    </row>
    <row r="703" spans="1:12" s="3" customFormat="1" ht="15" x14ac:dyDescent="0.25">
      <c r="A703" s="18"/>
      <c r="B703" s="19" t="s">
        <v>9</v>
      </c>
      <c r="C703" s="28"/>
      <c r="D703" s="21"/>
      <c r="E703" s="20"/>
      <c r="F703" s="21"/>
      <c r="G703" s="20"/>
      <c r="H703" s="21"/>
      <c r="I703" s="238"/>
      <c r="J703" s="168"/>
      <c r="K703" s="178"/>
      <c r="L703" s="168"/>
    </row>
    <row r="704" spans="1:12" s="3" customFormat="1" ht="15" x14ac:dyDescent="0.25">
      <c r="A704" s="18"/>
      <c r="B704" s="19"/>
      <c r="C704" s="28"/>
      <c r="D704" s="21"/>
      <c r="E704" s="20"/>
      <c r="F704" s="21"/>
      <c r="G704" s="20"/>
      <c r="H704" s="21"/>
      <c r="I704" s="238"/>
      <c r="J704" s="168"/>
      <c r="K704" s="178"/>
      <c r="L704" s="168"/>
    </row>
    <row r="705" spans="1:12" s="3" customFormat="1" ht="15" x14ac:dyDescent="0.25">
      <c r="A705" s="18"/>
      <c r="B705" s="19" t="s">
        <v>10</v>
      </c>
      <c r="C705" s="28"/>
      <c r="D705" s="21"/>
      <c r="E705" s="20"/>
      <c r="F705" s="21"/>
      <c r="G705" s="20"/>
      <c r="H705" s="21"/>
      <c r="I705" s="238"/>
      <c r="J705" s="168"/>
      <c r="K705" s="178"/>
      <c r="L705" s="168"/>
    </row>
    <row r="706" spans="1:12" s="3" customFormat="1" ht="15" x14ac:dyDescent="0.25">
      <c r="A706" s="18"/>
      <c r="B706" s="19"/>
      <c r="C706" s="28"/>
      <c r="D706" s="21"/>
      <c r="E706" s="20"/>
      <c r="F706" s="21"/>
      <c r="G706" s="20"/>
      <c r="H706" s="21"/>
      <c r="I706" s="238"/>
      <c r="J706" s="168"/>
      <c r="K706" s="178"/>
      <c r="L706" s="168"/>
    </row>
    <row r="707" spans="1:12" s="3" customFormat="1" ht="15" x14ac:dyDescent="0.25">
      <c r="A707" s="18"/>
      <c r="B707" s="19" t="s">
        <v>11</v>
      </c>
      <c r="C707" s="28"/>
      <c r="D707" s="21"/>
      <c r="E707" s="20"/>
      <c r="F707" s="21"/>
      <c r="G707" s="20"/>
      <c r="H707" s="21"/>
      <c r="I707" s="238"/>
      <c r="J707" s="168"/>
      <c r="K707" s="178"/>
      <c r="L707" s="168"/>
    </row>
    <row r="708" spans="1:12" s="3" customFormat="1" ht="15" x14ac:dyDescent="0.25">
      <c r="A708" s="18"/>
      <c r="B708" s="19"/>
      <c r="C708" s="28"/>
      <c r="D708" s="21"/>
      <c r="E708" s="20"/>
      <c r="F708" s="21"/>
      <c r="G708" s="20"/>
      <c r="H708" s="21"/>
      <c r="I708" s="238"/>
      <c r="J708" s="168"/>
      <c r="K708" s="178"/>
      <c r="L708" s="168"/>
    </row>
    <row r="709" spans="1:12" x14ac:dyDescent="0.2">
      <c r="A709" s="5" t="s">
        <v>672</v>
      </c>
      <c r="B709" s="7" t="s">
        <v>13</v>
      </c>
      <c r="C709" s="29">
        <v>87735</v>
      </c>
      <c r="D709" s="11">
        <v>0</v>
      </c>
      <c r="E709" s="9">
        <v>0</v>
      </c>
      <c r="F709" s="11">
        <v>40645.199999999997</v>
      </c>
      <c r="G709" s="9">
        <f>C709-E709-F709</f>
        <v>47089.8</v>
      </c>
      <c r="H709" s="11">
        <v>46.32</v>
      </c>
      <c r="I709" s="240">
        <f>'Mayor''s Office'!I10</f>
        <v>0</v>
      </c>
      <c r="J709" s="109">
        <f>'Mayor''s Office'!J10</f>
        <v>87735</v>
      </c>
      <c r="K709" s="229">
        <f>'Mayor''s Office'!K10</f>
        <v>92999.1</v>
      </c>
      <c r="L709" s="109">
        <f>'Mayor''s Office'!L10</f>
        <v>98579.046000000002</v>
      </c>
    </row>
    <row r="710" spans="1:12" x14ac:dyDescent="0.2">
      <c r="A710" s="5" t="s">
        <v>674</v>
      </c>
      <c r="B710" s="7" t="s">
        <v>17</v>
      </c>
      <c r="C710" s="29">
        <v>15692</v>
      </c>
      <c r="D710" s="11">
        <v>3109.97</v>
      </c>
      <c r="E710" s="9">
        <v>0</v>
      </c>
      <c r="F710" s="11">
        <v>18659.82</v>
      </c>
      <c r="G710" s="9">
        <f t="shared" ref="G710:G718" si="290">C710-E710-F710</f>
        <v>-2967.8199999999997</v>
      </c>
      <c r="H710" s="11">
        <v>118.91</v>
      </c>
      <c r="I710" s="240">
        <f>'Mayor''s Office'!I12</f>
        <v>10827.48</v>
      </c>
      <c r="J710" s="109">
        <f>'Mayor''s Office'!J12</f>
        <v>26519.48</v>
      </c>
      <c r="K710" s="229">
        <f>'Mayor''s Office'!K12</f>
        <v>28110.648799999999</v>
      </c>
      <c r="L710" s="109">
        <f>'Mayor''s Office'!L12</f>
        <v>29797.287727999999</v>
      </c>
    </row>
    <row r="711" spans="1:12" x14ac:dyDescent="0.2">
      <c r="A711" s="5" t="s">
        <v>675</v>
      </c>
      <c r="B711" s="7" t="s">
        <v>19</v>
      </c>
      <c r="C711" s="29">
        <v>400000</v>
      </c>
      <c r="D711" s="11">
        <v>47350.23</v>
      </c>
      <c r="E711" s="9">
        <v>0</v>
      </c>
      <c r="F711" s="11">
        <v>222714.13</v>
      </c>
      <c r="G711" s="9">
        <f t="shared" si="290"/>
        <v>177285.87</v>
      </c>
      <c r="H711" s="11">
        <v>55.67</v>
      </c>
      <c r="I711" s="240">
        <f>'Mayor''s Office'!I13</f>
        <v>30000</v>
      </c>
      <c r="J711" s="109">
        <f>'Mayor''s Office'!J13</f>
        <v>430000</v>
      </c>
      <c r="K711" s="229">
        <f>'Mayor''s Office'!K13</f>
        <v>455800</v>
      </c>
      <c r="L711" s="109">
        <f>'Mayor''s Office'!L13</f>
        <v>483148</v>
      </c>
    </row>
    <row r="712" spans="1:12" x14ac:dyDescent="0.2">
      <c r="A712" s="5" t="s">
        <v>676</v>
      </c>
      <c r="B712" s="7" t="s">
        <v>21</v>
      </c>
      <c r="C712" s="29">
        <v>2000</v>
      </c>
      <c r="D712" s="11">
        <v>6004.54</v>
      </c>
      <c r="E712" s="9">
        <v>0</v>
      </c>
      <c r="F712" s="11">
        <v>9763.2999999999993</v>
      </c>
      <c r="G712" s="9">
        <f t="shared" si="290"/>
        <v>-7763.2999999999993</v>
      </c>
      <c r="H712" s="11">
        <v>488.16</v>
      </c>
      <c r="I712" s="240">
        <f>'Mayor''s Office'!I14</f>
        <v>30000</v>
      </c>
      <c r="J712" s="109">
        <f>'Mayor''s Office'!J14</f>
        <v>32000</v>
      </c>
      <c r="K712" s="229">
        <f>'Mayor''s Office'!K14</f>
        <v>33920</v>
      </c>
      <c r="L712" s="109">
        <f>'Mayor''s Office'!L14</f>
        <v>35955.199999999997</v>
      </c>
    </row>
    <row r="713" spans="1:12" x14ac:dyDescent="0.2">
      <c r="A713" s="5" t="s">
        <v>678</v>
      </c>
      <c r="B713" s="7" t="s">
        <v>24</v>
      </c>
      <c r="C713" s="29">
        <v>65112</v>
      </c>
      <c r="D713" s="11">
        <v>0</v>
      </c>
      <c r="E713" s="9">
        <v>0</v>
      </c>
      <c r="F713" s="11">
        <v>0</v>
      </c>
      <c r="G713" s="9">
        <f t="shared" si="290"/>
        <v>65112</v>
      </c>
      <c r="H713" s="11">
        <v>0</v>
      </c>
      <c r="I713" s="240">
        <f>'Mayor''s Office'!I16</f>
        <v>0</v>
      </c>
      <c r="J713" s="162">
        <f t="shared" ref="J713:J719" si="291">C713+I713</f>
        <v>65112</v>
      </c>
      <c r="K713" s="169">
        <f>J713*6/100+J713</f>
        <v>69018.720000000001</v>
      </c>
      <c r="L713" s="162">
        <f t="shared" ref="L713" si="292">K713*6/100+K713</f>
        <v>73159.843200000003</v>
      </c>
    </row>
    <row r="714" spans="1:12" x14ac:dyDescent="0.2">
      <c r="A714" s="5" t="s">
        <v>679</v>
      </c>
      <c r="B714" s="7" t="s">
        <v>32</v>
      </c>
      <c r="C714" s="29">
        <v>1052805</v>
      </c>
      <c r="D714" s="11">
        <v>75581.11</v>
      </c>
      <c r="E714" s="9">
        <v>0</v>
      </c>
      <c r="F714" s="11">
        <v>451983.01</v>
      </c>
      <c r="G714" s="9">
        <f t="shared" si="290"/>
        <v>600821.99</v>
      </c>
      <c r="H714" s="11">
        <v>42.93</v>
      </c>
      <c r="I714" s="240">
        <f>'Mayor''s Office'!I17</f>
        <v>0</v>
      </c>
      <c r="J714" s="162">
        <f t="shared" si="291"/>
        <v>1052805</v>
      </c>
      <c r="K714" s="169">
        <f>J714*6/100+J714</f>
        <v>1115973.3</v>
      </c>
      <c r="L714" s="162">
        <f t="shared" ref="L714" si="293">K714*6/100+K714</f>
        <v>1182931.6980000001</v>
      </c>
    </row>
    <row r="715" spans="1:12" x14ac:dyDescent="0.2">
      <c r="A715" s="5" t="s">
        <v>680</v>
      </c>
      <c r="B715" s="7" t="s">
        <v>34</v>
      </c>
      <c r="C715" s="29">
        <v>0</v>
      </c>
      <c r="D715" s="11">
        <v>0</v>
      </c>
      <c r="E715" s="9">
        <v>0</v>
      </c>
      <c r="F715" s="11">
        <v>0</v>
      </c>
      <c r="G715" s="9">
        <f t="shared" si="290"/>
        <v>0</v>
      </c>
      <c r="H715" s="11">
        <v>0</v>
      </c>
      <c r="I715" s="240">
        <f>'Mayor''s Office'!I18</f>
        <v>0</v>
      </c>
      <c r="J715" s="162">
        <f t="shared" si="291"/>
        <v>0</v>
      </c>
      <c r="K715" s="169">
        <f>J715*6/100+J715</f>
        <v>0</v>
      </c>
      <c r="L715" s="162">
        <f t="shared" ref="L715" si="294">K715*6/100+K715</f>
        <v>0</v>
      </c>
    </row>
    <row r="716" spans="1:12" x14ac:dyDescent="0.2">
      <c r="A716" s="5" t="s">
        <v>681</v>
      </c>
      <c r="B716" s="7" t="s">
        <v>36</v>
      </c>
      <c r="C716" s="29">
        <v>139308</v>
      </c>
      <c r="D716" s="11">
        <v>7024.68</v>
      </c>
      <c r="E716" s="9">
        <v>0</v>
      </c>
      <c r="F716" s="11">
        <v>42148.08</v>
      </c>
      <c r="G716" s="9">
        <f t="shared" si="290"/>
        <v>97159.92</v>
      </c>
      <c r="H716" s="11">
        <v>30.25</v>
      </c>
      <c r="I716" s="240">
        <f>'Mayor''s Office'!I19</f>
        <v>0</v>
      </c>
      <c r="J716" s="109">
        <f>'Mayor''s Office'!J19</f>
        <v>139308</v>
      </c>
      <c r="K716" s="229">
        <f>'Mayor''s Office'!K19</f>
        <v>147666.48000000001</v>
      </c>
      <c r="L716" s="109">
        <f>'Mayor''s Office'!L19</f>
        <v>156526.4688</v>
      </c>
    </row>
    <row r="717" spans="1:12" x14ac:dyDescent="0.2">
      <c r="A717" s="5" t="s">
        <v>682</v>
      </c>
      <c r="B717" s="7" t="s">
        <v>44</v>
      </c>
      <c r="C717" s="29">
        <v>0</v>
      </c>
      <c r="D717" s="11">
        <v>0</v>
      </c>
      <c r="E717" s="9">
        <v>0</v>
      </c>
      <c r="F717" s="11">
        <v>0</v>
      </c>
      <c r="G717" s="9">
        <f t="shared" si="290"/>
        <v>0</v>
      </c>
      <c r="H717" s="11">
        <v>0</v>
      </c>
      <c r="I717" s="240">
        <f>'Mayor''s Office'!I20</f>
        <v>0</v>
      </c>
      <c r="J717" s="162">
        <f t="shared" si="291"/>
        <v>0</v>
      </c>
      <c r="K717" s="169">
        <f>J717*6/100+J717</f>
        <v>0</v>
      </c>
      <c r="L717" s="162">
        <f t="shared" ref="L717" si="295">K717*6/100+K717</f>
        <v>0</v>
      </c>
    </row>
    <row r="718" spans="1:12" x14ac:dyDescent="0.2">
      <c r="A718" s="5" t="s">
        <v>683</v>
      </c>
      <c r="B718" s="7" t="s">
        <v>46</v>
      </c>
      <c r="C718" s="29">
        <v>6420</v>
      </c>
      <c r="D718" s="11">
        <v>0</v>
      </c>
      <c r="E718" s="9">
        <v>0</v>
      </c>
      <c r="F718" s="11">
        <v>6000</v>
      </c>
      <c r="G718" s="9">
        <f t="shared" si="290"/>
        <v>420</v>
      </c>
      <c r="H718" s="11">
        <v>93.45</v>
      </c>
      <c r="I718" s="240">
        <f>'Mayor''s Office'!I21</f>
        <v>-420</v>
      </c>
      <c r="J718" s="162">
        <f t="shared" si="291"/>
        <v>6000</v>
      </c>
      <c r="K718" s="169">
        <f>J718*6/100+J718</f>
        <v>6360</v>
      </c>
      <c r="L718" s="162">
        <f t="shared" ref="L718" si="296">K718*6/100+K718</f>
        <v>6741.6</v>
      </c>
    </row>
    <row r="719" spans="1:12" x14ac:dyDescent="0.2">
      <c r="A719" s="5" t="s">
        <v>684</v>
      </c>
      <c r="B719" s="7" t="s">
        <v>48</v>
      </c>
      <c r="C719" s="29">
        <v>0</v>
      </c>
      <c r="D719" s="11">
        <v>0</v>
      </c>
      <c r="E719" s="9">
        <v>0</v>
      </c>
      <c r="F719" s="11">
        <v>0</v>
      </c>
      <c r="G719" s="9">
        <v>0</v>
      </c>
      <c r="H719" s="11">
        <v>0</v>
      </c>
      <c r="I719" s="240">
        <f>'Mayor''s Office'!I22</f>
        <v>0</v>
      </c>
      <c r="J719" s="162">
        <f t="shared" si="291"/>
        <v>0</v>
      </c>
      <c r="K719" s="169"/>
      <c r="L719" s="162"/>
    </row>
    <row r="720" spans="1:12" x14ac:dyDescent="0.2">
      <c r="A720" s="5"/>
      <c r="B720" s="7"/>
      <c r="C720" s="29"/>
      <c r="D720" s="11"/>
      <c r="E720" s="9"/>
      <c r="F720" s="11"/>
      <c r="G720" s="9"/>
      <c r="H720" s="11"/>
      <c r="I720" s="240"/>
      <c r="J720" s="162"/>
      <c r="K720" s="169"/>
      <c r="L720" s="162"/>
    </row>
    <row r="721" spans="1:12" s="3" customFormat="1" ht="15" x14ac:dyDescent="0.25">
      <c r="A721" s="18"/>
      <c r="B721" s="19" t="s">
        <v>49</v>
      </c>
      <c r="C721" s="28">
        <f>SUM(C709:C719)</f>
        <v>1769072</v>
      </c>
      <c r="D721" s="36">
        <f>SUM(D709:D719)</f>
        <v>139070.53</v>
      </c>
      <c r="E721" s="28">
        <f>SUM(E709:E719)</f>
        <v>0</v>
      </c>
      <c r="F721" s="36">
        <f>SUM(F709:F719)</f>
        <v>791913.53999999992</v>
      </c>
      <c r="G721" s="28">
        <f>SUM(G709:G719)</f>
        <v>977158.46000000008</v>
      </c>
      <c r="H721" s="21">
        <v>44.76</v>
      </c>
      <c r="I721" s="243">
        <f>SUM(I709:I719)</f>
        <v>70407.48</v>
      </c>
      <c r="J721" s="172">
        <f>SUM(J709:J719)</f>
        <v>1839479.48</v>
      </c>
      <c r="K721" s="236">
        <f>SUM(K709:K719)</f>
        <v>1949848.2487999999</v>
      </c>
      <c r="L721" s="172">
        <f>SUM(L709:L719)</f>
        <v>2066839.1437280001</v>
      </c>
    </row>
    <row r="722" spans="1:12" s="3" customFormat="1" ht="15" x14ac:dyDescent="0.25">
      <c r="A722" s="18"/>
      <c r="B722" s="19"/>
      <c r="C722" s="28"/>
      <c r="D722" s="21"/>
      <c r="E722" s="20"/>
      <c r="F722" s="21"/>
      <c r="G722" s="20"/>
      <c r="H722" s="21"/>
      <c r="I722" s="238"/>
      <c r="J722" s="168"/>
      <c r="K722" s="178"/>
      <c r="L722" s="168"/>
    </row>
    <row r="723" spans="1:12" s="3" customFormat="1" ht="15" x14ac:dyDescent="0.25">
      <c r="A723" s="18"/>
      <c r="B723" s="19" t="s">
        <v>50</v>
      </c>
      <c r="C723" s="28"/>
      <c r="D723" s="21"/>
      <c r="E723" s="20"/>
      <c r="F723" s="21"/>
      <c r="G723" s="20"/>
      <c r="H723" s="21"/>
      <c r="I723" s="238"/>
      <c r="J723" s="168"/>
      <c r="K723" s="178"/>
      <c r="L723" s="168"/>
    </row>
    <row r="724" spans="1:12" s="3" customFormat="1" ht="15" x14ac:dyDescent="0.25">
      <c r="A724" s="18"/>
      <c r="B724" s="19"/>
      <c r="C724" s="28"/>
      <c r="D724" s="21"/>
      <c r="E724" s="20"/>
      <c r="F724" s="21"/>
      <c r="G724" s="20"/>
      <c r="H724" s="21"/>
      <c r="I724" s="238"/>
      <c r="J724" s="168"/>
      <c r="K724" s="178"/>
      <c r="L724" s="168"/>
    </row>
    <row r="725" spans="1:12" x14ac:dyDescent="0.2">
      <c r="A725" s="5" t="s">
        <v>685</v>
      </c>
      <c r="B725" s="7" t="s">
        <v>53</v>
      </c>
      <c r="C725" s="29">
        <v>381</v>
      </c>
      <c r="D725" s="11">
        <v>29</v>
      </c>
      <c r="E725" s="9">
        <v>0</v>
      </c>
      <c r="F725" s="11">
        <v>174</v>
      </c>
      <c r="G725" s="9">
        <v>207</v>
      </c>
      <c r="H725" s="11">
        <v>45.66</v>
      </c>
      <c r="I725" s="240">
        <f>'Mayor''s Office'!I28</f>
        <v>0</v>
      </c>
      <c r="J725" s="109">
        <f>'Mayor''s Office'!J28</f>
        <v>381</v>
      </c>
      <c r="K725" s="229">
        <f>'Mayor''s Office'!K28</f>
        <v>403.86</v>
      </c>
      <c r="L725" s="109">
        <f>'Mayor''s Office'!L28</f>
        <v>428.09160000000003</v>
      </c>
    </row>
    <row r="726" spans="1:12" x14ac:dyDescent="0.2">
      <c r="A726" s="5" t="s">
        <v>686</v>
      </c>
      <c r="B726" s="7" t="s">
        <v>55</v>
      </c>
      <c r="C726" s="29">
        <v>8201</v>
      </c>
      <c r="D726" s="11">
        <v>594.88</v>
      </c>
      <c r="E726" s="9">
        <v>0</v>
      </c>
      <c r="F726" s="11">
        <v>3402.46</v>
      </c>
      <c r="G726" s="9">
        <v>4798.54</v>
      </c>
      <c r="H726" s="11">
        <v>41.48</v>
      </c>
      <c r="I726" s="240">
        <f>'Mayor''s Office'!I29</f>
        <v>0</v>
      </c>
      <c r="J726" s="109">
        <f>'Mayor''s Office'!J29</f>
        <v>8201</v>
      </c>
      <c r="K726" s="229">
        <f>'Mayor''s Office'!K29</f>
        <v>8693.06</v>
      </c>
      <c r="L726" s="109">
        <f>'Mayor''s Office'!L29</f>
        <v>9214.6435999999994</v>
      </c>
    </row>
    <row r="727" spans="1:12" x14ac:dyDescent="0.2">
      <c r="A727" s="5" t="s">
        <v>687</v>
      </c>
      <c r="B727" s="7" t="s">
        <v>57</v>
      </c>
      <c r="C727" s="29">
        <v>33595</v>
      </c>
      <c r="D727" s="11">
        <v>4204.8</v>
      </c>
      <c r="E727" s="9">
        <v>0</v>
      </c>
      <c r="F727" s="11">
        <v>25228.799999999999</v>
      </c>
      <c r="G727" s="9">
        <v>8366.2000000000007</v>
      </c>
      <c r="H727" s="11">
        <v>75.09</v>
      </c>
      <c r="I727" s="240">
        <f>C727*30/100</f>
        <v>10078.5</v>
      </c>
      <c r="J727" s="109">
        <f>'Mayor''s Office'!J30</f>
        <v>43673.5</v>
      </c>
      <c r="K727" s="229">
        <f>'Mayor''s Office'!K30</f>
        <v>46293.91</v>
      </c>
      <c r="L727" s="109">
        <f>'Mayor''s Office'!L30</f>
        <v>49071.544600000001</v>
      </c>
    </row>
    <row r="728" spans="1:12" x14ac:dyDescent="0.2">
      <c r="A728" s="5" t="s">
        <v>688</v>
      </c>
      <c r="B728" s="7" t="s">
        <v>59</v>
      </c>
      <c r="C728" s="29">
        <v>231617</v>
      </c>
      <c r="D728" s="11">
        <v>14389.65</v>
      </c>
      <c r="E728" s="9">
        <v>0</v>
      </c>
      <c r="F728" s="11">
        <v>86067.199999999997</v>
      </c>
      <c r="G728" s="9">
        <v>145549.79999999999</v>
      </c>
      <c r="H728" s="11">
        <v>37.15</v>
      </c>
      <c r="I728" s="240">
        <f>'Mayor''s Office'!I31</f>
        <v>0</v>
      </c>
      <c r="J728" s="162">
        <f t="shared" ref="J728:J729" si="297">C728+I728</f>
        <v>231617</v>
      </c>
      <c r="K728" s="169">
        <f>J728*6/100+J728</f>
        <v>245514.02</v>
      </c>
      <c r="L728" s="109">
        <f>'Mayor''s Office'!L31</f>
        <v>260244.86119999998</v>
      </c>
    </row>
    <row r="729" spans="1:12" x14ac:dyDescent="0.2">
      <c r="A729" s="5" t="s">
        <v>689</v>
      </c>
      <c r="B729" s="7" t="s">
        <v>60</v>
      </c>
      <c r="C729" s="29">
        <v>0</v>
      </c>
      <c r="D729" s="11">
        <v>0</v>
      </c>
      <c r="E729" s="9">
        <v>0</v>
      </c>
      <c r="F729" s="11">
        <v>0</v>
      </c>
      <c r="G729" s="9">
        <v>0</v>
      </c>
      <c r="H729" s="11">
        <v>0</v>
      </c>
      <c r="I729" s="240">
        <f>'Mayor''s Office'!I32</f>
        <v>0</v>
      </c>
      <c r="J729" s="162">
        <f t="shared" si="297"/>
        <v>0</v>
      </c>
      <c r="K729" s="169">
        <f>J729*6/100+J729</f>
        <v>0</v>
      </c>
      <c r="L729" s="162">
        <f t="shared" ref="L729" si="298">K729*6/100+K729</f>
        <v>0</v>
      </c>
    </row>
    <row r="730" spans="1:12" x14ac:dyDescent="0.2">
      <c r="A730" s="5" t="s">
        <v>690</v>
      </c>
      <c r="B730" s="7" t="s">
        <v>62</v>
      </c>
      <c r="C730" s="29">
        <v>21056</v>
      </c>
      <c r="D730" s="11">
        <v>6207.56</v>
      </c>
      <c r="E730" s="9">
        <v>0</v>
      </c>
      <c r="F730" s="11">
        <v>37133.1</v>
      </c>
      <c r="G730" s="9">
        <v>-16077.1</v>
      </c>
      <c r="H730" s="11">
        <v>176.35</v>
      </c>
      <c r="I730" s="240">
        <f>'Mayor''s Office'!I33</f>
        <v>0</v>
      </c>
      <c r="J730" s="109">
        <f>'Mayor''s Office'!J33</f>
        <v>21056</v>
      </c>
      <c r="K730" s="229">
        <f>'Mayor''s Office'!K33</f>
        <v>22319.360000000001</v>
      </c>
      <c r="L730" s="109">
        <f>'Mayor''s Office'!L33</f>
        <v>23658.5216</v>
      </c>
    </row>
    <row r="731" spans="1:12" x14ac:dyDescent="0.2">
      <c r="A731" s="5"/>
      <c r="B731" s="7"/>
      <c r="C731" s="29"/>
      <c r="D731" s="11"/>
      <c r="E731" s="9"/>
      <c r="F731" s="11"/>
      <c r="G731" s="9"/>
      <c r="H731" s="11"/>
      <c r="I731" s="240"/>
      <c r="J731" s="162"/>
      <c r="K731" s="169"/>
      <c r="L731" s="162"/>
    </row>
    <row r="732" spans="1:12" s="3" customFormat="1" ht="15" x14ac:dyDescent="0.25">
      <c r="A732" s="18"/>
      <c r="B732" s="19" t="s">
        <v>63</v>
      </c>
      <c r="C732" s="28">
        <f>SUM(C725:C731)</f>
        <v>294850</v>
      </c>
      <c r="D732" s="36">
        <f t="shared" ref="D732:G732" si="299">SUM(D725:D731)</f>
        <v>25425.890000000003</v>
      </c>
      <c r="E732" s="28">
        <f t="shared" si="299"/>
        <v>0</v>
      </c>
      <c r="F732" s="36">
        <f t="shared" si="299"/>
        <v>152005.56</v>
      </c>
      <c r="G732" s="28">
        <f t="shared" si="299"/>
        <v>142844.43999999997</v>
      </c>
      <c r="H732" s="21">
        <v>51.55</v>
      </c>
      <c r="I732" s="243">
        <f t="shared" ref="I732" si="300">SUM(I725:I731)</f>
        <v>10078.5</v>
      </c>
      <c r="J732" s="172">
        <f t="shared" ref="J732" si="301">SUM(J725:J731)</f>
        <v>304928.5</v>
      </c>
      <c r="K732" s="236">
        <f t="shared" ref="K732" si="302">SUM(K725:K731)</f>
        <v>323224.20999999996</v>
      </c>
      <c r="L732" s="172">
        <f t="shared" ref="L732" si="303">SUM(L725:L731)</f>
        <v>342617.66259999998</v>
      </c>
    </row>
    <row r="733" spans="1:12" s="3" customFormat="1" ht="15" x14ac:dyDescent="0.25">
      <c r="A733" s="18"/>
      <c r="B733" s="19"/>
      <c r="C733" s="28"/>
      <c r="D733" s="21"/>
      <c r="E733" s="20"/>
      <c r="F733" s="21"/>
      <c r="G733" s="20"/>
      <c r="H733" s="21"/>
      <c r="I733" s="238"/>
      <c r="J733" s="168"/>
      <c r="K733" s="178"/>
      <c r="L733" s="168"/>
    </row>
    <row r="734" spans="1:12" s="3" customFormat="1" ht="15" x14ac:dyDescent="0.25">
      <c r="A734" s="18"/>
      <c r="B734" s="19" t="s">
        <v>65</v>
      </c>
      <c r="C734" s="28"/>
      <c r="D734" s="21"/>
      <c r="E734" s="20"/>
      <c r="F734" s="21"/>
      <c r="G734" s="20"/>
      <c r="H734" s="21"/>
      <c r="I734" s="238"/>
      <c r="J734" s="168"/>
      <c r="K734" s="178"/>
      <c r="L734" s="168"/>
    </row>
    <row r="735" spans="1:12" s="3" customFormat="1" ht="15" x14ac:dyDescent="0.25">
      <c r="A735" s="18"/>
      <c r="B735" s="19"/>
      <c r="C735" s="28"/>
      <c r="D735" s="21"/>
      <c r="E735" s="20"/>
      <c r="F735" s="21"/>
      <c r="G735" s="20"/>
      <c r="H735" s="21"/>
      <c r="I735" s="238"/>
      <c r="J735" s="168"/>
      <c r="K735" s="178"/>
      <c r="L735" s="168"/>
    </row>
    <row r="736" spans="1:12" s="323" customFormat="1" x14ac:dyDescent="0.2">
      <c r="A736" s="319" t="s">
        <v>691</v>
      </c>
      <c r="B736" s="320" t="s">
        <v>67</v>
      </c>
      <c r="C736" s="321">
        <v>7696972</v>
      </c>
      <c r="D736" s="322">
        <v>436880.27</v>
      </c>
      <c r="E736" s="241">
        <v>0</v>
      </c>
      <c r="F736" s="322">
        <v>2621281.62</v>
      </c>
      <c r="G736" s="241">
        <f>C736-E736-F736</f>
        <v>5075690.38</v>
      </c>
      <c r="H736" s="322">
        <v>34.049999999999997</v>
      </c>
      <c r="I736" s="240">
        <f>'Mayor''s Office'!I39</f>
        <v>0</v>
      </c>
      <c r="J736" s="109">
        <f t="shared" ref="J736:J738" si="304">C736+I736</f>
        <v>7696972</v>
      </c>
      <c r="K736" s="229">
        <f>J736*6/100+J736</f>
        <v>8158790.3200000003</v>
      </c>
      <c r="L736" s="109">
        <f t="shared" ref="L736" si="305">K736*6/100+K736</f>
        <v>8648317.7391999997</v>
      </c>
    </row>
    <row r="737" spans="1:12" x14ac:dyDescent="0.2">
      <c r="A737" s="5" t="s">
        <v>692</v>
      </c>
      <c r="B737" s="7" t="s">
        <v>69</v>
      </c>
      <c r="C737" s="29">
        <v>625205</v>
      </c>
      <c r="D737" s="11">
        <v>55053</v>
      </c>
      <c r="E737" s="9">
        <v>0</v>
      </c>
      <c r="F737" s="11">
        <v>330318</v>
      </c>
      <c r="G737" s="9">
        <f t="shared" ref="G737:G738" si="306">C737-E737-F737</f>
        <v>294887</v>
      </c>
      <c r="H737" s="11">
        <v>52.83</v>
      </c>
      <c r="I737" s="240">
        <f>'Mayor''s Office'!I40</f>
        <v>0</v>
      </c>
      <c r="J737" s="162">
        <f t="shared" si="304"/>
        <v>625205</v>
      </c>
      <c r="K737" s="169">
        <f>J737*6/100+J737</f>
        <v>662717.30000000005</v>
      </c>
      <c r="L737" s="162">
        <f t="shared" ref="L737" si="307">K737*6/100+K737</f>
        <v>702480.33799999999</v>
      </c>
    </row>
    <row r="738" spans="1:12" x14ac:dyDescent="0.2">
      <c r="A738" s="5" t="s">
        <v>693</v>
      </c>
      <c r="B738" s="7" t="s">
        <v>71</v>
      </c>
      <c r="C738" s="29">
        <v>1924243</v>
      </c>
      <c r="D738" s="11">
        <v>145626.79999999999</v>
      </c>
      <c r="E738" s="9">
        <v>0</v>
      </c>
      <c r="F738" s="11">
        <v>873760.8</v>
      </c>
      <c r="G738" s="9">
        <f t="shared" si="306"/>
        <v>1050482.2</v>
      </c>
      <c r="H738" s="11">
        <v>45.4</v>
      </c>
      <c r="I738" s="240">
        <f>'Mayor''s Office'!I41</f>
        <v>0</v>
      </c>
      <c r="J738" s="162">
        <f t="shared" si="304"/>
        <v>1924243</v>
      </c>
      <c r="K738" s="169">
        <f>J738*6/100+J738</f>
        <v>2039697.58</v>
      </c>
      <c r="L738" s="162">
        <f t="shared" ref="L738" si="308">K738*6/100+K738</f>
        <v>2162079.4347999999</v>
      </c>
    </row>
    <row r="739" spans="1:12" x14ac:dyDescent="0.2">
      <c r="A739" s="5"/>
      <c r="B739" s="7"/>
      <c r="C739" s="29"/>
      <c r="D739" s="11"/>
      <c r="E739" s="9"/>
      <c r="F739" s="11"/>
      <c r="G739" s="9"/>
      <c r="H739" s="11"/>
      <c r="I739" s="240"/>
      <c r="J739" s="162"/>
      <c r="K739" s="169"/>
      <c r="L739" s="162"/>
    </row>
    <row r="740" spans="1:12" s="3" customFormat="1" ht="15" x14ac:dyDescent="0.25">
      <c r="A740" s="18"/>
      <c r="B740" s="19" t="s">
        <v>72</v>
      </c>
      <c r="C740" s="28">
        <f>SUM(C736:C739)</f>
        <v>10246420</v>
      </c>
      <c r="D740" s="36">
        <f t="shared" ref="D740:G740" si="309">SUM(D736:D739)</f>
        <v>637560.07000000007</v>
      </c>
      <c r="E740" s="28">
        <f t="shared" si="309"/>
        <v>0</v>
      </c>
      <c r="F740" s="36">
        <f t="shared" si="309"/>
        <v>3825360.42</v>
      </c>
      <c r="G740" s="28">
        <f t="shared" si="309"/>
        <v>6421059.5800000001</v>
      </c>
      <c r="H740" s="21">
        <v>37.33</v>
      </c>
      <c r="I740" s="243">
        <f t="shared" ref="I740" si="310">SUM(I736:I739)</f>
        <v>0</v>
      </c>
      <c r="J740" s="172">
        <f t="shared" ref="J740" si="311">SUM(J736:J739)</f>
        <v>10246420</v>
      </c>
      <c r="K740" s="236">
        <f t="shared" ref="K740" si="312">SUM(K736:K739)</f>
        <v>10861205.200000001</v>
      </c>
      <c r="L740" s="172">
        <f t="shared" ref="L740" si="313">SUM(L736:L739)</f>
        <v>11512877.511999998</v>
      </c>
    </row>
    <row r="741" spans="1:12" s="3" customFormat="1" ht="15" x14ac:dyDescent="0.25">
      <c r="A741" s="18"/>
      <c r="B741" s="19"/>
      <c r="C741" s="28"/>
      <c r="D741" s="21"/>
      <c r="E741" s="20"/>
      <c r="F741" s="21"/>
      <c r="G741" s="20"/>
      <c r="H741" s="21"/>
      <c r="I741" s="238"/>
      <c r="J741" s="168"/>
      <c r="K741" s="178"/>
      <c r="L741" s="168"/>
    </row>
    <row r="742" spans="1:12" s="3" customFormat="1" ht="15" x14ac:dyDescent="0.25">
      <c r="A742" s="18"/>
      <c r="B742" s="19" t="s">
        <v>73</v>
      </c>
      <c r="C742" s="28">
        <f>C721+C732+C740</f>
        <v>12310342</v>
      </c>
      <c r="D742" s="36">
        <f t="shared" ref="D742:L742" si="314">D721+D732+D740</f>
        <v>802056.49000000011</v>
      </c>
      <c r="E742" s="28">
        <f t="shared" si="314"/>
        <v>0</v>
      </c>
      <c r="F742" s="36">
        <f t="shared" si="314"/>
        <v>4769279.5199999996</v>
      </c>
      <c r="G742" s="28">
        <f t="shared" si="314"/>
        <v>7541062.4800000004</v>
      </c>
      <c r="H742" s="21">
        <v>38.74</v>
      </c>
      <c r="I742" s="243">
        <f t="shared" si="314"/>
        <v>80485.98</v>
      </c>
      <c r="J742" s="172">
        <f t="shared" si="314"/>
        <v>12390827.98</v>
      </c>
      <c r="K742" s="236">
        <f t="shared" si="314"/>
        <v>13134277.658800002</v>
      </c>
      <c r="L742" s="172">
        <f t="shared" si="314"/>
        <v>13922334.318327999</v>
      </c>
    </row>
    <row r="743" spans="1:12" s="3" customFormat="1" ht="15" x14ac:dyDescent="0.25">
      <c r="A743" s="18"/>
      <c r="B743" s="19"/>
      <c r="C743" s="28"/>
      <c r="D743" s="21"/>
      <c r="E743" s="20"/>
      <c r="F743" s="21"/>
      <c r="G743" s="20"/>
      <c r="H743" s="21"/>
      <c r="I743" s="238"/>
      <c r="J743" s="168"/>
      <c r="K743" s="178"/>
      <c r="L743" s="168"/>
    </row>
    <row r="744" spans="1:12" s="3" customFormat="1" ht="15" x14ac:dyDescent="0.25">
      <c r="A744" s="18"/>
      <c r="B744" s="19" t="s">
        <v>74</v>
      </c>
      <c r="C744" s="28"/>
      <c r="D744" s="21"/>
      <c r="E744" s="20"/>
      <c r="F744" s="21"/>
      <c r="G744" s="20"/>
      <c r="H744" s="21"/>
      <c r="I744" s="238"/>
      <c r="J744" s="168"/>
      <c r="K744" s="178"/>
      <c r="L744" s="168"/>
    </row>
    <row r="745" spans="1:12" s="3" customFormat="1" ht="15" x14ac:dyDescent="0.25">
      <c r="A745" s="18"/>
      <c r="B745" s="19"/>
      <c r="C745" s="28"/>
      <c r="D745" s="21"/>
      <c r="E745" s="20"/>
      <c r="F745" s="21"/>
      <c r="G745" s="20"/>
      <c r="H745" s="21"/>
      <c r="I745" s="238"/>
      <c r="J745" s="168"/>
      <c r="K745" s="178"/>
      <c r="L745" s="168"/>
    </row>
    <row r="746" spans="1:12" s="3" customFormat="1" ht="15" x14ac:dyDescent="0.25">
      <c r="A746" s="18"/>
      <c r="B746" s="19" t="s">
        <v>75</v>
      </c>
      <c r="C746" s="28"/>
      <c r="D746" s="21"/>
      <c r="E746" s="20"/>
      <c r="F746" s="21"/>
      <c r="G746" s="20"/>
      <c r="H746" s="21"/>
      <c r="I746" s="238"/>
      <c r="J746" s="168"/>
      <c r="K746" s="178"/>
      <c r="L746" s="168"/>
    </row>
    <row r="747" spans="1:12" s="3" customFormat="1" ht="15" x14ac:dyDescent="0.25">
      <c r="A747" s="18"/>
      <c r="B747" s="19"/>
      <c r="C747" s="28"/>
      <c r="D747" s="21"/>
      <c r="E747" s="20"/>
      <c r="F747" s="21"/>
      <c r="G747" s="20"/>
      <c r="H747" s="21"/>
      <c r="I747" s="238"/>
      <c r="J747" s="168"/>
      <c r="K747" s="178"/>
      <c r="L747" s="168"/>
    </row>
    <row r="748" spans="1:12" x14ac:dyDescent="0.2">
      <c r="A748" s="5" t="s">
        <v>694</v>
      </c>
      <c r="B748" s="7" t="s">
        <v>77</v>
      </c>
      <c r="C748" s="29">
        <v>450000</v>
      </c>
      <c r="D748" s="11">
        <v>0</v>
      </c>
      <c r="E748" s="9">
        <v>23208.53</v>
      </c>
      <c r="F748" s="11">
        <v>70939.13</v>
      </c>
      <c r="G748" s="9">
        <v>379060.87</v>
      </c>
      <c r="H748" s="11">
        <v>15.76</v>
      </c>
      <c r="I748" s="240">
        <f>'Mayor''s Office'!I51</f>
        <v>-100000</v>
      </c>
      <c r="J748" s="109">
        <f>'Mayor''s Office'!J51</f>
        <v>350000</v>
      </c>
      <c r="K748" s="229">
        <f>'Mayor''s Office'!K51</f>
        <v>371000</v>
      </c>
      <c r="L748" s="109">
        <f>'Mayor''s Office'!L51</f>
        <v>393260</v>
      </c>
    </row>
    <row r="749" spans="1:12" x14ac:dyDescent="0.2">
      <c r="A749" s="5" t="s">
        <v>695</v>
      </c>
      <c r="B749" s="7" t="s">
        <v>170</v>
      </c>
      <c r="C749" s="29">
        <v>52900</v>
      </c>
      <c r="D749" s="11">
        <v>0</v>
      </c>
      <c r="E749" s="9">
        <v>0</v>
      </c>
      <c r="F749" s="11">
        <v>36129.01</v>
      </c>
      <c r="G749" s="9">
        <v>16770.990000000002</v>
      </c>
      <c r="H749" s="11">
        <v>68.290000000000006</v>
      </c>
      <c r="I749" s="240">
        <f>'Mayor''s Office'!I52</f>
        <v>0</v>
      </c>
      <c r="J749" s="109">
        <f>'Mayor''s Office'!J52</f>
        <v>52900</v>
      </c>
      <c r="K749" s="229">
        <f>'Mayor''s Office'!K52</f>
        <v>56074</v>
      </c>
      <c r="L749" s="109">
        <f>'Mayor''s Office'!L52</f>
        <v>59438.44</v>
      </c>
    </row>
    <row r="750" spans="1:12" x14ac:dyDescent="0.2">
      <c r="A750" s="5" t="s">
        <v>696</v>
      </c>
      <c r="B750" s="7" t="s">
        <v>179</v>
      </c>
      <c r="C750" s="29">
        <v>88957</v>
      </c>
      <c r="D750" s="11">
        <v>0</v>
      </c>
      <c r="E750" s="9">
        <v>0</v>
      </c>
      <c r="F750" s="11">
        <v>3900</v>
      </c>
      <c r="G750" s="9">
        <v>85057</v>
      </c>
      <c r="H750" s="11">
        <v>4.38</v>
      </c>
      <c r="I750" s="240">
        <f>'Mayor''s Office'!I53</f>
        <v>-50000</v>
      </c>
      <c r="J750" s="109">
        <f>'Mayor''s Office'!J53</f>
        <v>38957</v>
      </c>
      <c r="K750" s="229">
        <f>'Mayor''s Office'!K53</f>
        <v>41294.42</v>
      </c>
      <c r="L750" s="109">
        <f>'Mayor''s Office'!L53</f>
        <v>43772.085200000001</v>
      </c>
    </row>
    <row r="751" spans="1:12" x14ac:dyDescent="0.2">
      <c r="A751" s="5" t="s">
        <v>697</v>
      </c>
      <c r="B751" s="7" t="s">
        <v>698</v>
      </c>
      <c r="C751" s="29">
        <v>41187</v>
      </c>
      <c r="D751" s="11">
        <v>0</v>
      </c>
      <c r="E751" s="9">
        <v>0</v>
      </c>
      <c r="F751" s="11">
        <v>0</v>
      </c>
      <c r="G751" s="9">
        <v>41187</v>
      </c>
      <c r="H751" s="11">
        <v>0</v>
      </c>
      <c r="I751" s="240">
        <f>'Mayor''s Office'!I54</f>
        <v>-40000</v>
      </c>
      <c r="J751" s="109">
        <f>'Mayor''s Office'!J54</f>
        <v>1187</v>
      </c>
      <c r="K751" s="229">
        <f>'Mayor''s Office'!K54</f>
        <v>1258.22</v>
      </c>
      <c r="L751" s="109">
        <f>'Mayor''s Office'!L54</f>
        <v>1333.7132000000001</v>
      </c>
    </row>
    <row r="752" spans="1:12" x14ac:dyDescent="0.2">
      <c r="A752" s="5" t="s">
        <v>699</v>
      </c>
      <c r="B752" s="7" t="s">
        <v>211</v>
      </c>
      <c r="C752" s="29">
        <v>2000</v>
      </c>
      <c r="D752" s="11">
        <v>0</v>
      </c>
      <c r="E752" s="9">
        <v>0</v>
      </c>
      <c r="F752" s="11">
        <v>1976</v>
      </c>
      <c r="G752" s="9">
        <v>24</v>
      </c>
      <c r="H752" s="11">
        <v>98.8</v>
      </c>
      <c r="I752" s="240">
        <f>'Mayor''s Office'!I55</f>
        <v>0</v>
      </c>
      <c r="J752" s="109">
        <f>'Mayor''s Office'!J55</f>
        <v>2000</v>
      </c>
      <c r="K752" s="229">
        <f>'Mayor''s Office'!K55</f>
        <v>2120</v>
      </c>
      <c r="L752" s="109">
        <f>'Mayor''s Office'!L55</f>
        <v>2247.1999999999998</v>
      </c>
    </row>
    <row r="753" spans="1:12" x14ac:dyDescent="0.2">
      <c r="A753" s="5" t="s">
        <v>700</v>
      </c>
      <c r="B753" s="7" t="s">
        <v>213</v>
      </c>
      <c r="C753" s="29">
        <v>2000</v>
      </c>
      <c r="D753" s="11">
        <v>0</v>
      </c>
      <c r="E753" s="9">
        <v>0</v>
      </c>
      <c r="F753" s="11">
        <v>1944</v>
      </c>
      <c r="G753" s="9">
        <v>56</v>
      </c>
      <c r="H753" s="11">
        <v>97.2</v>
      </c>
      <c r="I753" s="240">
        <f>'Mayor''s Office'!I56</f>
        <v>0</v>
      </c>
      <c r="J753" s="109">
        <f>'Mayor''s Office'!J56</f>
        <v>2000</v>
      </c>
      <c r="K753" s="229">
        <f>'Mayor''s Office'!K56</f>
        <v>2120</v>
      </c>
      <c r="L753" s="109">
        <f>'Mayor''s Office'!L56</f>
        <v>2247.1999999999998</v>
      </c>
    </row>
    <row r="754" spans="1:12" x14ac:dyDescent="0.2">
      <c r="A754" s="5" t="s">
        <v>701</v>
      </c>
      <c r="B754" s="7" t="s">
        <v>215</v>
      </c>
      <c r="C754" s="29">
        <v>2000</v>
      </c>
      <c r="D754" s="11">
        <v>0</v>
      </c>
      <c r="E754" s="9">
        <v>0</v>
      </c>
      <c r="F754" s="11">
        <v>1944</v>
      </c>
      <c r="G754" s="9">
        <v>56</v>
      </c>
      <c r="H754" s="11">
        <v>97.2</v>
      </c>
      <c r="I754" s="240">
        <f>'Mayor''s Office'!I57</f>
        <v>0</v>
      </c>
      <c r="J754" s="109">
        <f>'Mayor''s Office'!J57</f>
        <v>2000</v>
      </c>
      <c r="K754" s="229">
        <f>'Mayor''s Office'!K57</f>
        <v>2120</v>
      </c>
      <c r="L754" s="109">
        <f>'Mayor''s Office'!L57</f>
        <v>2247.1999999999998</v>
      </c>
    </row>
    <row r="755" spans="1:12" x14ac:dyDescent="0.2">
      <c r="A755" s="5" t="s">
        <v>702</v>
      </c>
      <c r="B755" s="7" t="s">
        <v>238</v>
      </c>
      <c r="C755" s="29">
        <v>250000</v>
      </c>
      <c r="D755" s="11">
        <v>51561.14</v>
      </c>
      <c r="E755" s="9">
        <v>20400</v>
      </c>
      <c r="F755" s="11">
        <v>124227.14</v>
      </c>
      <c r="G755" s="9">
        <v>125772.86</v>
      </c>
      <c r="H755" s="11">
        <v>49.69</v>
      </c>
      <c r="I755" s="240">
        <f>'Mayor''s Office'!I58</f>
        <v>189771</v>
      </c>
      <c r="J755" s="109">
        <f>'Mayor''s Office'!J58</f>
        <v>439771</v>
      </c>
      <c r="K755" s="229">
        <f>'Mayor''s Office'!K58</f>
        <v>466157.26</v>
      </c>
      <c r="L755" s="109">
        <f>'Mayor''s Office'!L58</f>
        <v>494126.69560000004</v>
      </c>
    </row>
    <row r="756" spans="1:12" x14ac:dyDescent="0.2">
      <c r="A756" s="5" t="s">
        <v>703</v>
      </c>
      <c r="B756" s="7" t="s">
        <v>262</v>
      </c>
      <c r="C756" s="29">
        <v>15000</v>
      </c>
      <c r="D756" s="11">
        <v>0</v>
      </c>
      <c r="E756" s="9">
        <v>0</v>
      </c>
      <c r="F756" s="11">
        <v>8206.68</v>
      </c>
      <c r="G756" s="9">
        <v>6793.32</v>
      </c>
      <c r="H756" s="11">
        <v>54.71</v>
      </c>
      <c r="I756" s="240">
        <f>'Mayor''s Office'!I59</f>
        <v>0</v>
      </c>
      <c r="J756" s="109">
        <f>'Mayor''s Office'!J59</f>
        <v>15000</v>
      </c>
      <c r="K756" s="229">
        <f>'Mayor''s Office'!K59</f>
        <v>15900</v>
      </c>
      <c r="L756" s="109">
        <f>'Mayor''s Office'!L59</f>
        <v>16854</v>
      </c>
    </row>
    <row r="757" spans="1:12" x14ac:dyDescent="0.2">
      <c r="A757" s="5"/>
      <c r="B757" s="7"/>
      <c r="C757" s="29"/>
      <c r="D757" s="11"/>
      <c r="E757" s="9"/>
      <c r="F757" s="11"/>
      <c r="G757" s="9"/>
      <c r="H757" s="11"/>
      <c r="I757" s="240"/>
      <c r="J757" s="162"/>
      <c r="K757" s="169"/>
      <c r="L757" s="162"/>
    </row>
    <row r="758" spans="1:12" s="3" customFormat="1" ht="15" x14ac:dyDescent="0.25">
      <c r="A758" s="18"/>
      <c r="B758" s="19" t="s">
        <v>287</v>
      </c>
      <c r="C758" s="28">
        <f>SUM(C748:C757)</f>
        <v>904044</v>
      </c>
      <c r="D758" s="36">
        <f t="shared" ref="D758:G758" si="315">SUM(D748:D757)</f>
        <v>51561.14</v>
      </c>
      <c r="E758" s="28">
        <f t="shared" si="315"/>
        <v>43608.53</v>
      </c>
      <c r="F758" s="36">
        <f t="shared" si="315"/>
        <v>249265.96000000002</v>
      </c>
      <c r="G758" s="28">
        <f t="shared" si="315"/>
        <v>654778.03999999992</v>
      </c>
      <c r="H758" s="21">
        <v>27.57</v>
      </c>
      <c r="I758" s="243">
        <f t="shared" ref="I758" si="316">SUM(I748:I757)</f>
        <v>-229</v>
      </c>
      <c r="J758" s="172">
        <f t="shared" ref="J758" si="317">SUM(J748:J757)</f>
        <v>903815</v>
      </c>
      <c r="K758" s="236">
        <f t="shared" ref="K758" si="318">SUM(K748:K757)</f>
        <v>958043.89999999991</v>
      </c>
      <c r="L758" s="172">
        <f t="shared" ref="L758" si="319">SUM(L748:L757)</f>
        <v>1015526.5340000001</v>
      </c>
    </row>
    <row r="759" spans="1:12" s="3" customFormat="1" ht="15" x14ac:dyDescent="0.25">
      <c r="A759" s="18"/>
      <c r="B759" s="19"/>
      <c r="C759" s="28"/>
      <c r="D759" s="21"/>
      <c r="E759" s="20"/>
      <c r="F759" s="21"/>
      <c r="G759" s="20"/>
      <c r="H759" s="21"/>
      <c r="I759" s="238"/>
      <c r="J759" s="168"/>
      <c r="K759" s="178"/>
      <c r="L759" s="168"/>
    </row>
    <row r="760" spans="1:12" s="3" customFormat="1" ht="15" x14ac:dyDescent="0.25">
      <c r="A760" s="18"/>
      <c r="B760" s="19" t="s">
        <v>292</v>
      </c>
      <c r="C760" s="20">
        <f>C758</f>
        <v>904044</v>
      </c>
      <c r="D760" s="21">
        <f t="shared" ref="D760:L760" si="320">D758</f>
        <v>51561.14</v>
      </c>
      <c r="E760" s="20">
        <f t="shared" si="320"/>
        <v>43608.53</v>
      </c>
      <c r="F760" s="21">
        <f t="shared" si="320"/>
        <v>249265.96000000002</v>
      </c>
      <c r="G760" s="20">
        <f t="shared" si="320"/>
        <v>654778.03999999992</v>
      </c>
      <c r="H760" s="21">
        <v>27.57</v>
      </c>
      <c r="I760" s="238">
        <f t="shared" si="320"/>
        <v>-229</v>
      </c>
      <c r="J760" s="168">
        <f t="shared" si="320"/>
        <v>903815</v>
      </c>
      <c r="K760" s="178">
        <f t="shared" si="320"/>
        <v>958043.89999999991</v>
      </c>
      <c r="L760" s="168">
        <f t="shared" si="320"/>
        <v>1015526.5340000001</v>
      </c>
    </row>
    <row r="761" spans="1:12" s="3" customFormat="1" ht="15" x14ac:dyDescent="0.25">
      <c r="A761" s="18"/>
      <c r="B761" s="19"/>
      <c r="C761" s="28"/>
      <c r="D761" s="21"/>
      <c r="E761" s="20"/>
      <c r="F761" s="21"/>
      <c r="G761" s="20"/>
      <c r="H761" s="21"/>
      <c r="I761" s="238"/>
      <c r="J761" s="168"/>
      <c r="K761" s="178"/>
      <c r="L761" s="168"/>
    </row>
    <row r="762" spans="1:12" s="3" customFormat="1" ht="15" x14ac:dyDescent="0.25">
      <c r="A762" s="18"/>
      <c r="B762" s="19" t="s">
        <v>338</v>
      </c>
      <c r="C762" s="28">
        <f>C742+C760</f>
        <v>13214386</v>
      </c>
      <c r="D762" s="36">
        <f t="shared" ref="D762:G762" si="321">D742+D760</f>
        <v>853617.63000000012</v>
      </c>
      <c r="E762" s="28">
        <f t="shared" si="321"/>
        <v>43608.53</v>
      </c>
      <c r="F762" s="36">
        <f t="shared" si="321"/>
        <v>5018545.4799999995</v>
      </c>
      <c r="G762" s="28">
        <f t="shared" si="321"/>
        <v>8195840.5200000005</v>
      </c>
      <c r="H762" s="21">
        <v>37.97</v>
      </c>
      <c r="I762" s="243">
        <f t="shared" ref="I762:L762" si="322">I742+I760</f>
        <v>80256.98</v>
      </c>
      <c r="J762" s="172">
        <f t="shared" si="322"/>
        <v>13294642.98</v>
      </c>
      <c r="K762" s="236">
        <f t="shared" si="322"/>
        <v>14092321.558800003</v>
      </c>
      <c r="L762" s="172">
        <f t="shared" si="322"/>
        <v>14937860.852327999</v>
      </c>
    </row>
    <row r="763" spans="1:12" s="3" customFormat="1" ht="15" x14ac:dyDescent="0.25">
      <c r="A763" s="18"/>
      <c r="B763" s="19"/>
      <c r="C763" s="28"/>
      <c r="D763" s="21"/>
      <c r="E763" s="20"/>
      <c r="F763" s="21"/>
      <c r="G763" s="20"/>
      <c r="H763" s="21"/>
      <c r="I763" s="238"/>
      <c r="J763" s="168"/>
      <c r="K763" s="178"/>
      <c r="L763" s="168"/>
    </row>
    <row r="764" spans="1:12" s="3" customFormat="1" ht="15" x14ac:dyDescent="0.25">
      <c r="A764" s="18"/>
      <c r="B764" s="19"/>
      <c r="C764" s="28"/>
      <c r="D764" s="21"/>
      <c r="E764" s="20"/>
      <c r="F764" s="21"/>
      <c r="G764" s="20"/>
      <c r="H764" s="21"/>
      <c r="I764" s="238"/>
      <c r="J764" s="168"/>
      <c r="K764" s="178"/>
      <c r="L764" s="168"/>
    </row>
    <row r="765" spans="1:12" s="3" customFormat="1" ht="15" x14ac:dyDescent="0.25">
      <c r="A765" s="18"/>
      <c r="B765" s="19" t="s">
        <v>339</v>
      </c>
      <c r="C765" s="28">
        <f>C762</f>
        <v>13214386</v>
      </c>
      <c r="D765" s="36">
        <f t="shared" ref="D765:G765" si="323">D762</f>
        <v>853617.63000000012</v>
      </c>
      <c r="E765" s="28">
        <f t="shared" si="323"/>
        <v>43608.53</v>
      </c>
      <c r="F765" s="36">
        <f t="shared" si="323"/>
        <v>5018545.4799999995</v>
      </c>
      <c r="G765" s="28">
        <f t="shared" si="323"/>
        <v>8195840.5200000005</v>
      </c>
      <c r="H765" s="21">
        <v>37.97</v>
      </c>
      <c r="I765" s="238">
        <f>I762</f>
        <v>80256.98</v>
      </c>
      <c r="J765" s="172">
        <f t="shared" ref="J765:L765" si="324">J762</f>
        <v>13294642.98</v>
      </c>
      <c r="K765" s="236">
        <f t="shared" si="324"/>
        <v>14092321.558800003</v>
      </c>
      <c r="L765" s="172">
        <f t="shared" si="324"/>
        <v>14937860.852327999</v>
      </c>
    </row>
    <row r="766" spans="1:12" s="3" customFormat="1" ht="15" x14ac:dyDescent="0.25">
      <c r="A766" s="18"/>
      <c r="B766" s="19"/>
      <c r="C766" s="28"/>
      <c r="D766" s="21"/>
      <c r="E766" s="28"/>
      <c r="F766" s="36"/>
      <c r="G766" s="28"/>
      <c r="H766" s="36"/>
      <c r="I766" s="243"/>
      <c r="J766" s="168"/>
      <c r="K766" s="178"/>
      <c r="L766" s="168"/>
    </row>
    <row r="767" spans="1:12" s="3" customFormat="1" ht="15" x14ac:dyDescent="0.25">
      <c r="A767" s="18"/>
      <c r="B767" s="19" t="s">
        <v>431</v>
      </c>
      <c r="C767" s="28"/>
      <c r="D767" s="21"/>
      <c r="E767" s="20"/>
      <c r="F767" s="21"/>
      <c r="G767" s="20"/>
      <c r="H767" s="21"/>
      <c r="I767" s="238"/>
      <c r="J767" s="168"/>
      <c r="K767" s="178"/>
      <c r="L767" s="168"/>
    </row>
    <row r="768" spans="1:12" s="3" customFormat="1" ht="15" x14ac:dyDescent="0.25">
      <c r="A768" s="18"/>
      <c r="B768" s="19"/>
      <c r="C768" s="28"/>
      <c r="D768" s="21"/>
      <c r="E768" s="20"/>
      <c r="F768" s="21"/>
      <c r="G768" s="20"/>
      <c r="H768" s="21"/>
      <c r="I768" s="238"/>
      <c r="J768" s="168"/>
      <c r="K768" s="178"/>
      <c r="L768" s="168"/>
    </row>
    <row r="769" spans="1:12" x14ac:dyDescent="0.2">
      <c r="A769" s="5" t="s">
        <v>704</v>
      </c>
      <c r="B769" s="7" t="s">
        <v>433</v>
      </c>
      <c r="C769" s="29">
        <f>C765</f>
        <v>13214386</v>
      </c>
      <c r="D769" s="37">
        <f t="shared" ref="D769:L769" si="325">D765</f>
        <v>853617.63000000012</v>
      </c>
      <c r="E769" s="29">
        <f t="shared" si="325"/>
        <v>43608.53</v>
      </c>
      <c r="F769" s="37">
        <f t="shared" si="325"/>
        <v>5018545.4799999995</v>
      </c>
      <c r="G769" s="29">
        <f t="shared" si="325"/>
        <v>8195840.5200000005</v>
      </c>
      <c r="H769" s="11">
        <v>37.97</v>
      </c>
      <c r="I769" s="239">
        <f t="shared" si="325"/>
        <v>80256.98</v>
      </c>
      <c r="J769" s="116">
        <f t="shared" si="325"/>
        <v>13294642.98</v>
      </c>
      <c r="K769" s="246">
        <f t="shared" si="325"/>
        <v>14092321.558800003</v>
      </c>
      <c r="L769" s="116">
        <f t="shared" si="325"/>
        <v>14937860.852327999</v>
      </c>
    </row>
    <row r="770" spans="1:12" x14ac:dyDescent="0.2">
      <c r="A770" s="5" t="s">
        <v>705</v>
      </c>
      <c r="B770" s="7" t="s">
        <v>429</v>
      </c>
      <c r="C770" s="29">
        <v>0</v>
      </c>
      <c r="D770" s="11">
        <v>0</v>
      </c>
      <c r="E770" s="9">
        <v>0</v>
      </c>
      <c r="F770" s="11">
        <v>0</v>
      </c>
      <c r="G770" s="9">
        <v>0</v>
      </c>
      <c r="H770" s="11">
        <v>0</v>
      </c>
      <c r="I770" s="240"/>
      <c r="J770" s="162"/>
      <c r="K770" s="169"/>
      <c r="L770" s="162"/>
    </row>
    <row r="771" spans="1:12" x14ac:dyDescent="0.2">
      <c r="A771" s="5"/>
      <c r="B771" s="7"/>
      <c r="C771" s="29"/>
      <c r="D771" s="11"/>
      <c r="E771" s="9"/>
      <c r="F771" s="11"/>
      <c r="G771" s="9"/>
      <c r="H771" s="11"/>
      <c r="I771" s="240"/>
      <c r="J771" s="162"/>
      <c r="K771" s="169"/>
      <c r="L771" s="162"/>
    </row>
    <row r="772" spans="1:12" s="3" customFormat="1" ht="15" x14ac:dyDescent="0.25">
      <c r="A772" s="18"/>
      <c r="B772" s="19" t="s">
        <v>435</v>
      </c>
      <c r="C772" s="28">
        <f>C769+C770</f>
        <v>13214386</v>
      </c>
      <c r="D772" s="36">
        <f t="shared" ref="D772:L772" si="326">D769+D770</f>
        <v>853617.63000000012</v>
      </c>
      <c r="E772" s="28">
        <f t="shared" si="326"/>
        <v>43608.53</v>
      </c>
      <c r="F772" s="36">
        <f t="shared" si="326"/>
        <v>5018545.4799999995</v>
      </c>
      <c r="G772" s="28">
        <f t="shared" si="326"/>
        <v>8195840.5200000005</v>
      </c>
      <c r="H772" s="21">
        <v>37.97</v>
      </c>
      <c r="I772" s="243">
        <f t="shared" si="326"/>
        <v>80256.98</v>
      </c>
      <c r="J772" s="172">
        <f t="shared" si="326"/>
        <v>13294642.98</v>
      </c>
      <c r="K772" s="236">
        <f t="shared" si="326"/>
        <v>14092321.558800003</v>
      </c>
      <c r="L772" s="172">
        <f t="shared" si="326"/>
        <v>14937860.852327999</v>
      </c>
    </row>
    <row r="773" spans="1:12" s="3" customFormat="1" ht="15" x14ac:dyDescent="0.25">
      <c r="A773" s="18"/>
      <c r="B773" s="19"/>
      <c r="C773" s="28"/>
      <c r="D773" s="21"/>
      <c r="E773" s="20"/>
      <c r="F773" s="21"/>
      <c r="G773" s="20"/>
      <c r="H773" s="21"/>
      <c r="I773" s="238"/>
      <c r="J773" s="168"/>
      <c r="K773" s="178"/>
      <c r="L773" s="168"/>
    </row>
    <row r="774" spans="1:12" s="3" customFormat="1" ht="15" x14ac:dyDescent="0.25">
      <c r="A774" s="18"/>
      <c r="B774" s="19" t="s">
        <v>436</v>
      </c>
      <c r="C774" s="28">
        <f>C772</f>
        <v>13214386</v>
      </c>
      <c r="D774" s="36">
        <f t="shared" ref="D774:G774" si="327">D772</f>
        <v>853617.63000000012</v>
      </c>
      <c r="E774" s="28">
        <f t="shared" si="327"/>
        <v>43608.53</v>
      </c>
      <c r="F774" s="36">
        <f t="shared" si="327"/>
        <v>5018545.4799999995</v>
      </c>
      <c r="G774" s="28">
        <f t="shared" si="327"/>
        <v>8195840.5200000005</v>
      </c>
      <c r="H774" s="21">
        <v>37.97</v>
      </c>
      <c r="I774" s="243">
        <f t="shared" ref="I774:L774" si="328">I772</f>
        <v>80256.98</v>
      </c>
      <c r="J774" s="172">
        <f t="shared" si="328"/>
        <v>13294642.98</v>
      </c>
      <c r="K774" s="236">
        <f t="shared" si="328"/>
        <v>14092321.558800003</v>
      </c>
      <c r="L774" s="172">
        <f t="shared" si="328"/>
        <v>14937860.852327999</v>
      </c>
    </row>
    <row r="775" spans="1:12" x14ac:dyDescent="0.2">
      <c r="A775" s="5"/>
      <c r="B775" s="7"/>
      <c r="C775" s="29"/>
      <c r="D775" s="11"/>
      <c r="E775" s="9"/>
      <c r="F775" s="11"/>
      <c r="G775" s="9"/>
      <c r="H775" s="11"/>
      <c r="I775" s="240"/>
      <c r="J775" s="162"/>
      <c r="K775" s="169"/>
      <c r="L775" s="162"/>
    </row>
    <row r="776" spans="1:12" x14ac:dyDescent="0.2">
      <c r="A776" s="5"/>
      <c r="B776" s="7"/>
      <c r="C776" s="29"/>
      <c r="D776" s="11"/>
      <c r="E776" s="9"/>
      <c r="F776" s="11"/>
      <c r="G776" s="9"/>
      <c r="H776" s="11"/>
      <c r="I776" s="240"/>
      <c r="J776" s="162"/>
      <c r="K776" s="169"/>
      <c r="L776" s="162"/>
    </row>
    <row r="777" spans="1:12" s="3" customFormat="1" ht="15" x14ac:dyDescent="0.25">
      <c r="A777" s="18"/>
      <c r="B777" s="19" t="s">
        <v>708</v>
      </c>
      <c r="C777" s="28"/>
      <c r="D777" s="21"/>
      <c r="E777" s="20"/>
      <c r="F777" s="21"/>
      <c r="G777" s="20"/>
      <c r="H777" s="21"/>
      <c r="I777" s="238"/>
      <c r="J777" s="168"/>
      <c r="K777" s="178"/>
      <c r="L777" s="168"/>
    </row>
    <row r="778" spans="1:12" s="3" customFormat="1" ht="15" x14ac:dyDescent="0.25">
      <c r="A778" s="18"/>
      <c r="B778" s="19"/>
      <c r="C778" s="28"/>
      <c r="D778" s="21"/>
      <c r="E778" s="20"/>
      <c r="F778" s="21"/>
      <c r="G778" s="20"/>
      <c r="H778" s="21"/>
      <c r="I778" s="238"/>
      <c r="J778" s="168"/>
      <c r="K778" s="178"/>
      <c r="L778" s="168"/>
    </row>
    <row r="779" spans="1:12" s="3" customFormat="1" ht="15" x14ac:dyDescent="0.25">
      <c r="A779" s="18"/>
      <c r="B779" s="19" t="s">
        <v>9</v>
      </c>
      <c r="C779" s="28"/>
      <c r="D779" s="21"/>
      <c r="E779" s="20"/>
      <c r="F779" s="21"/>
      <c r="G779" s="20"/>
      <c r="H779" s="21"/>
      <c r="I779" s="238"/>
      <c r="J779" s="168"/>
      <c r="K779" s="178"/>
      <c r="L779" s="168"/>
    </row>
    <row r="780" spans="1:12" s="3" customFormat="1" ht="15" x14ac:dyDescent="0.25">
      <c r="A780" s="18"/>
      <c r="B780" s="19"/>
      <c r="C780" s="28"/>
      <c r="D780" s="21"/>
      <c r="E780" s="20"/>
      <c r="F780" s="21"/>
      <c r="G780" s="20"/>
      <c r="H780" s="21"/>
      <c r="I780" s="238"/>
      <c r="J780" s="168"/>
      <c r="K780" s="178"/>
      <c r="L780" s="168"/>
    </row>
    <row r="781" spans="1:12" s="3" customFormat="1" ht="15" x14ac:dyDescent="0.25">
      <c r="A781" s="18"/>
      <c r="B781" s="19" t="s">
        <v>10</v>
      </c>
      <c r="C781" s="28"/>
      <c r="D781" s="21"/>
      <c r="E781" s="20"/>
      <c r="F781" s="21"/>
      <c r="G781" s="20"/>
      <c r="H781" s="21"/>
      <c r="I781" s="238"/>
      <c r="J781" s="168"/>
      <c r="K781" s="178"/>
      <c r="L781" s="168"/>
    </row>
    <row r="782" spans="1:12" s="3" customFormat="1" ht="15" x14ac:dyDescent="0.25">
      <c r="A782" s="18"/>
      <c r="B782" s="19"/>
      <c r="C782" s="28"/>
      <c r="D782" s="21"/>
      <c r="E782" s="20"/>
      <c r="F782" s="21"/>
      <c r="G782" s="20"/>
      <c r="H782" s="21"/>
      <c r="I782" s="238"/>
      <c r="J782" s="168"/>
      <c r="K782" s="178"/>
      <c r="L782" s="168"/>
    </row>
    <row r="783" spans="1:12" s="3" customFormat="1" ht="15" x14ac:dyDescent="0.25">
      <c r="A783" s="18"/>
      <c r="B783" s="19" t="s">
        <v>11</v>
      </c>
      <c r="C783" s="28"/>
      <c r="D783" s="21"/>
      <c r="E783" s="20"/>
      <c r="F783" s="21"/>
      <c r="G783" s="20"/>
      <c r="H783" s="21"/>
      <c r="I783" s="238"/>
      <c r="J783" s="168"/>
      <c r="K783" s="178"/>
      <c r="L783" s="168"/>
    </row>
    <row r="784" spans="1:12" s="3" customFormat="1" ht="15" x14ac:dyDescent="0.25">
      <c r="A784" s="18"/>
      <c r="B784" s="19"/>
      <c r="C784" s="28"/>
      <c r="D784" s="21"/>
      <c r="E784" s="20"/>
      <c r="F784" s="21"/>
      <c r="G784" s="20"/>
      <c r="H784" s="21"/>
      <c r="I784" s="238"/>
      <c r="J784" s="168"/>
      <c r="K784" s="178"/>
      <c r="L784" s="168"/>
    </row>
    <row r="785" spans="1:12" x14ac:dyDescent="0.2">
      <c r="A785" s="5" t="s">
        <v>709</v>
      </c>
      <c r="B785" s="7" t="s">
        <v>13</v>
      </c>
      <c r="C785" s="29">
        <v>435699</v>
      </c>
      <c r="D785" s="11">
        <v>73823.25</v>
      </c>
      <c r="E785" s="9">
        <v>0</v>
      </c>
      <c r="F785" s="11">
        <v>228061.76</v>
      </c>
      <c r="G785" s="9">
        <f>C785-E785-F785</f>
        <v>207637.24</v>
      </c>
      <c r="H785" s="11">
        <v>52.34</v>
      </c>
      <c r="I785" s="240">
        <f>'budget &amp; Treasury'!I10</f>
        <v>0</v>
      </c>
      <c r="J785" s="109">
        <f>'budget &amp; Treasury'!J10</f>
        <v>435699</v>
      </c>
      <c r="K785" s="229">
        <f>'budget &amp; Treasury'!K10</f>
        <v>461840.94</v>
      </c>
      <c r="L785" s="109">
        <f>'budget &amp; Treasury'!L10</f>
        <v>489551.39640000003</v>
      </c>
    </row>
    <row r="786" spans="1:12" x14ac:dyDescent="0.2">
      <c r="A786" s="5" t="s">
        <v>710</v>
      </c>
      <c r="B786" s="7" t="s">
        <v>15</v>
      </c>
      <c r="C786" s="29">
        <v>25056</v>
      </c>
      <c r="D786" s="11">
        <v>1400</v>
      </c>
      <c r="E786" s="9">
        <v>0</v>
      </c>
      <c r="F786" s="11">
        <v>8400</v>
      </c>
      <c r="G786" s="9">
        <f t="shared" ref="G786:G798" si="329">C786-E786-F786</f>
        <v>16656</v>
      </c>
      <c r="H786" s="11">
        <v>33.520000000000003</v>
      </c>
      <c r="I786" s="240">
        <f>'budget &amp; Treasury'!I11</f>
        <v>-2505.6</v>
      </c>
      <c r="J786" s="109">
        <f>'budget &amp; Treasury'!J11</f>
        <v>22550.400000000001</v>
      </c>
      <c r="K786" s="229">
        <f>'budget &amp; Treasury'!K11</f>
        <v>23903.424000000003</v>
      </c>
      <c r="L786" s="109">
        <f>'budget &amp; Treasury'!L11</f>
        <v>25337.629440000004</v>
      </c>
    </row>
    <row r="787" spans="1:12" x14ac:dyDescent="0.2">
      <c r="A787" s="5" t="s">
        <v>711</v>
      </c>
      <c r="B787" s="7" t="s">
        <v>17</v>
      </c>
      <c r="C787" s="29">
        <v>62770</v>
      </c>
      <c r="D787" s="11">
        <v>5230.8</v>
      </c>
      <c r="E787" s="9">
        <v>0</v>
      </c>
      <c r="F787" s="11">
        <v>31384.799999999999</v>
      </c>
      <c r="G787" s="9">
        <f t="shared" si="329"/>
        <v>31385.200000000001</v>
      </c>
      <c r="H787" s="11">
        <v>49.99</v>
      </c>
      <c r="I787" s="240">
        <f>'budget &amp; Treasury'!I12</f>
        <v>0</v>
      </c>
      <c r="J787" s="109">
        <f>'budget &amp; Treasury'!J12</f>
        <v>62770</v>
      </c>
      <c r="K787" s="229">
        <f>'budget &amp; Treasury'!K12</f>
        <v>66536.2</v>
      </c>
      <c r="L787" s="109">
        <f>'budget &amp; Treasury'!L12</f>
        <v>70528.372000000003</v>
      </c>
    </row>
    <row r="788" spans="1:12" x14ac:dyDescent="0.2">
      <c r="A788" s="5" t="s">
        <v>712</v>
      </c>
      <c r="B788" s="7" t="s">
        <v>713</v>
      </c>
      <c r="C788" s="29">
        <v>110000</v>
      </c>
      <c r="D788" s="11">
        <v>25924.17</v>
      </c>
      <c r="E788" s="9">
        <v>0</v>
      </c>
      <c r="F788" s="11">
        <v>93891.9</v>
      </c>
      <c r="G788" s="9">
        <f t="shared" si="329"/>
        <v>16108.100000000006</v>
      </c>
      <c r="H788" s="11">
        <v>85.35</v>
      </c>
      <c r="I788" s="240">
        <f>'budget &amp; Treasury'!I13</f>
        <v>155000</v>
      </c>
      <c r="J788" s="109">
        <f>'budget &amp; Treasury'!J13</f>
        <v>265000</v>
      </c>
      <c r="K788" s="229">
        <f>'budget &amp; Treasury'!K13</f>
        <v>280900</v>
      </c>
      <c r="L788" s="109">
        <f>'budget &amp; Treasury'!L13</f>
        <v>297754</v>
      </c>
    </row>
    <row r="789" spans="1:12" x14ac:dyDescent="0.2">
      <c r="A789" s="5" t="s">
        <v>714</v>
      </c>
      <c r="B789" s="7" t="s">
        <v>21</v>
      </c>
      <c r="C789" s="29">
        <v>40000</v>
      </c>
      <c r="D789" s="11">
        <v>9299.77</v>
      </c>
      <c r="E789" s="9">
        <v>0</v>
      </c>
      <c r="F789" s="11">
        <v>23275.919999999998</v>
      </c>
      <c r="G789" s="9">
        <f t="shared" si="329"/>
        <v>16724.080000000002</v>
      </c>
      <c r="H789" s="11">
        <v>58.18</v>
      </c>
      <c r="I789" s="240">
        <f>'budget &amp; Treasury'!I14</f>
        <v>0</v>
      </c>
      <c r="J789" s="109">
        <f>'budget &amp; Treasury'!J14</f>
        <v>40000</v>
      </c>
      <c r="K789" s="229">
        <f>'budget &amp; Treasury'!K14</f>
        <v>42400</v>
      </c>
      <c r="L789" s="109">
        <f>'budget &amp; Treasury'!L14</f>
        <v>44944</v>
      </c>
    </row>
    <row r="790" spans="1:12" x14ac:dyDescent="0.2">
      <c r="A790" s="5" t="s">
        <v>715</v>
      </c>
      <c r="B790" s="7" t="s">
        <v>24</v>
      </c>
      <c r="C790" s="29">
        <v>178224</v>
      </c>
      <c r="D790" s="11">
        <v>11466.33</v>
      </c>
      <c r="E790" s="9">
        <v>0</v>
      </c>
      <c r="F790" s="11">
        <v>68797.98</v>
      </c>
      <c r="G790" s="9">
        <f t="shared" si="329"/>
        <v>109426.02</v>
      </c>
      <c r="H790" s="11">
        <v>38.6</v>
      </c>
      <c r="I790" s="240">
        <f>'budget &amp; Treasury'!I15</f>
        <v>-26733.599999999999</v>
      </c>
      <c r="J790" s="109">
        <f>'budget &amp; Treasury'!J15</f>
        <v>151490.4</v>
      </c>
      <c r="K790" s="229">
        <f>'budget &amp; Treasury'!K15</f>
        <v>160579.82399999999</v>
      </c>
      <c r="L790" s="109">
        <f>'budget &amp; Treasury'!L15</f>
        <v>170214.61343999999</v>
      </c>
    </row>
    <row r="791" spans="1:12" x14ac:dyDescent="0.2">
      <c r="A791" s="5" t="s">
        <v>716</v>
      </c>
      <c r="B791" s="7" t="s">
        <v>28</v>
      </c>
      <c r="C791" s="29">
        <v>33117</v>
      </c>
      <c r="D791" s="11">
        <v>0</v>
      </c>
      <c r="E791" s="9">
        <v>0</v>
      </c>
      <c r="F791" s="11">
        <v>38524.51</v>
      </c>
      <c r="G791" s="9">
        <f t="shared" si="329"/>
        <v>-5407.510000000002</v>
      </c>
      <c r="H791" s="11">
        <v>116.32</v>
      </c>
      <c r="I791" s="240">
        <f>'budget &amp; Treasury'!I16</f>
        <v>5408</v>
      </c>
      <c r="J791" s="109">
        <f>'budget &amp; Treasury'!J16</f>
        <v>38525</v>
      </c>
      <c r="K791" s="229">
        <f>'budget &amp; Treasury'!K16</f>
        <v>40836.5</v>
      </c>
      <c r="L791" s="109">
        <f>'budget &amp; Treasury'!L16</f>
        <v>43286.69</v>
      </c>
    </row>
    <row r="792" spans="1:12" x14ac:dyDescent="0.2">
      <c r="A792" s="5" t="s">
        <v>717</v>
      </c>
      <c r="B792" s="7" t="s">
        <v>30</v>
      </c>
      <c r="C792" s="29">
        <v>0</v>
      </c>
      <c r="D792" s="11">
        <v>0</v>
      </c>
      <c r="E792" s="9">
        <v>0</v>
      </c>
      <c r="F792" s="11">
        <v>0</v>
      </c>
      <c r="G792" s="9">
        <f t="shared" si="329"/>
        <v>0</v>
      </c>
      <c r="H792" s="11">
        <v>0</v>
      </c>
      <c r="I792" s="240">
        <v>0</v>
      </c>
      <c r="J792" s="162">
        <f t="shared" ref="J792:J798" si="330">C792+I792</f>
        <v>0</v>
      </c>
      <c r="K792" s="169">
        <f>J792*6/100+J792</f>
        <v>0</v>
      </c>
      <c r="L792" s="162">
        <f t="shared" ref="L792" si="331">K792*6/100+K792</f>
        <v>0</v>
      </c>
    </row>
    <row r="793" spans="1:12" x14ac:dyDescent="0.2">
      <c r="A793" s="5" t="s">
        <v>718</v>
      </c>
      <c r="B793" s="7" t="s">
        <v>32</v>
      </c>
      <c r="C793" s="29">
        <v>5228393</v>
      </c>
      <c r="D793" s="11">
        <v>442306</v>
      </c>
      <c r="E793" s="9">
        <v>0</v>
      </c>
      <c r="F793" s="11">
        <v>2608906.94</v>
      </c>
      <c r="G793" s="9">
        <f t="shared" si="329"/>
        <v>2619486.06</v>
      </c>
      <c r="H793" s="11">
        <v>49.89</v>
      </c>
      <c r="I793" s="240">
        <f>'budget &amp; Treasury'!I18</f>
        <v>0</v>
      </c>
      <c r="J793" s="109">
        <f>'budget &amp; Treasury'!J18</f>
        <v>5228393</v>
      </c>
      <c r="K793" s="229">
        <f>'budget &amp; Treasury'!K18</f>
        <v>5542096.5800000001</v>
      </c>
      <c r="L793" s="109">
        <f>'budget &amp; Treasury'!L18</f>
        <v>5874622.3748000003</v>
      </c>
    </row>
    <row r="794" spans="1:12" x14ac:dyDescent="0.2">
      <c r="A794" s="5" t="s">
        <v>720</v>
      </c>
      <c r="B794" s="7" t="s">
        <v>36</v>
      </c>
      <c r="C794" s="29">
        <v>887990</v>
      </c>
      <c r="D794" s="11">
        <v>75162.649999999994</v>
      </c>
      <c r="E794" s="9">
        <v>0</v>
      </c>
      <c r="F794" s="11">
        <v>448589.83</v>
      </c>
      <c r="G794" s="9">
        <f t="shared" si="329"/>
        <v>439400.17</v>
      </c>
      <c r="H794" s="11">
        <v>50.51</v>
      </c>
      <c r="I794" s="240">
        <f>'budget &amp; Treasury'!I20</f>
        <v>0</v>
      </c>
      <c r="J794" s="109">
        <f>'budget &amp; Treasury'!J20</f>
        <v>887990</v>
      </c>
      <c r="K794" s="229">
        <f>'budget &amp; Treasury'!K20</f>
        <v>941269.4</v>
      </c>
      <c r="L794" s="109">
        <f>'budget &amp; Treasury'!L20</f>
        <v>997745.56400000001</v>
      </c>
    </row>
    <row r="795" spans="1:12" s="323" customFormat="1" x14ac:dyDescent="0.2">
      <c r="A795" s="319" t="s">
        <v>721</v>
      </c>
      <c r="B795" s="320" t="s">
        <v>722</v>
      </c>
      <c r="C795" s="321">
        <v>436488</v>
      </c>
      <c r="D795" s="322">
        <v>18706.66</v>
      </c>
      <c r="E795" s="241">
        <v>0</v>
      </c>
      <c r="F795" s="322">
        <v>162105.32999999999</v>
      </c>
      <c r="G795" s="241">
        <f t="shared" si="329"/>
        <v>274382.67000000004</v>
      </c>
      <c r="H795" s="322">
        <v>37.130000000000003</v>
      </c>
      <c r="I795" s="240">
        <f>'budget &amp; Treasury'!I21</f>
        <v>-113096</v>
      </c>
      <c r="J795" s="109">
        <f>'budget &amp; Treasury'!J21</f>
        <v>323392</v>
      </c>
      <c r="K795" s="229">
        <f>'budget &amp; Treasury'!K21</f>
        <v>400000</v>
      </c>
      <c r="L795" s="109">
        <f>'budget &amp; Treasury'!L21</f>
        <v>400000</v>
      </c>
    </row>
    <row r="796" spans="1:12" x14ac:dyDescent="0.2">
      <c r="A796" s="5" t="s">
        <v>723</v>
      </c>
      <c r="B796" s="7" t="s">
        <v>44</v>
      </c>
      <c r="C796" s="29">
        <v>0</v>
      </c>
      <c r="D796" s="11">
        <v>0</v>
      </c>
      <c r="E796" s="9">
        <v>0</v>
      </c>
      <c r="F796" s="11">
        <v>0</v>
      </c>
      <c r="G796" s="9">
        <f t="shared" si="329"/>
        <v>0</v>
      </c>
      <c r="H796" s="11">
        <v>0</v>
      </c>
      <c r="I796" s="240"/>
      <c r="J796" s="162">
        <f t="shared" si="330"/>
        <v>0</v>
      </c>
      <c r="K796" s="169"/>
      <c r="L796" s="162"/>
    </row>
    <row r="797" spans="1:12" x14ac:dyDescent="0.2">
      <c r="A797" s="5" t="s">
        <v>724</v>
      </c>
      <c r="B797" s="7" t="s">
        <v>46</v>
      </c>
      <c r="C797" s="29">
        <v>0</v>
      </c>
      <c r="D797" s="11">
        <v>0</v>
      </c>
      <c r="E797" s="9">
        <v>0</v>
      </c>
      <c r="F797" s="11">
        <v>0</v>
      </c>
      <c r="G797" s="9">
        <f t="shared" si="329"/>
        <v>0</v>
      </c>
      <c r="H797" s="11">
        <v>0</v>
      </c>
      <c r="I797" s="240"/>
      <c r="J797" s="162">
        <f t="shared" si="330"/>
        <v>0</v>
      </c>
      <c r="K797" s="169"/>
      <c r="L797" s="162"/>
    </row>
    <row r="798" spans="1:12" x14ac:dyDescent="0.2">
      <c r="A798" s="5" t="s">
        <v>725</v>
      </c>
      <c r="B798" s="7" t="s">
        <v>48</v>
      </c>
      <c r="C798" s="29">
        <v>0</v>
      </c>
      <c r="D798" s="11">
        <v>0</v>
      </c>
      <c r="E798" s="9">
        <v>0</v>
      </c>
      <c r="F798" s="11">
        <v>0</v>
      </c>
      <c r="G798" s="9">
        <f t="shared" si="329"/>
        <v>0</v>
      </c>
      <c r="H798" s="11">
        <v>0</v>
      </c>
      <c r="I798" s="240"/>
      <c r="J798" s="162">
        <f t="shared" si="330"/>
        <v>0</v>
      </c>
      <c r="K798" s="169"/>
      <c r="L798" s="162"/>
    </row>
    <row r="799" spans="1:12" x14ac:dyDescent="0.2">
      <c r="A799" s="5"/>
      <c r="B799" s="7"/>
      <c r="C799" s="29"/>
      <c r="D799" s="11"/>
      <c r="E799" s="9"/>
      <c r="F799" s="11"/>
      <c r="G799" s="9"/>
      <c r="H799" s="11"/>
      <c r="I799" s="240"/>
      <c r="J799" s="162"/>
      <c r="K799" s="169"/>
      <c r="L799" s="162"/>
    </row>
    <row r="800" spans="1:12" s="3" customFormat="1" ht="15" x14ac:dyDescent="0.25">
      <c r="A800" s="18"/>
      <c r="B800" s="19" t="s">
        <v>49</v>
      </c>
      <c r="C800" s="28">
        <f>SUM(C785:C799)</f>
        <v>7437737</v>
      </c>
      <c r="D800" s="36">
        <f>SUM(D785:D799)</f>
        <v>663319.63000000012</v>
      </c>
      <c r="E800" s="28">
        <f>SUM(E785:E799)</f>
        <v>0</v>
      </c>
      <c r="F800" s="36">
        <f>SUM(F785:F799)</f>
        <v>3711938.97</v>
      </c>
      <c r="G800" s="28">
        <f>SUM(G785:G799)</f>
        <v>3725798.03</v>
      </c>
      <c r="H800" s="21">
        <v>49.9</v>
      </c>
      <c r="I800" s="243">
        <f>SUM(I785:I799)</f>
        <v>18072.799999999988</v>
      </c>
      <c r="J800" s="172">
        <f>SUM(J785:J799)</f>
        <v>7455809.7999999998</v>
      </c>
      <c r="K800" s="236">
        <f>SUM(K785:K799)</f>
        <v>7960362.8680000007</v>
      </c>
      <c r="L800" s="172">
        <f>SUM(L785:L799)</f>
        <v>8413984.6400800012</v>
      </c>
    </row>
    <row r="801" spans="1:12" s="3" customFormat="1" ht="15" x14ac:dyDescent="0.25">
      <c r="A801" s="18"/>
      <c r="B801" s="19"/>
      <c r="C801" s="28"/>
      <c r="D801" s="21"/>
      <c r="E801" s="20"/>
      <c r="F801" s="21"/>
      <c r="G801" s="20"/>
      <c r="H801" s="21"/>
      <c r="I801" s="238"/>
      <c r="J801" s="168"/>
      <c r="K801" s="178"/>
      <c r="L801" s="168"/>
    </row>
    <row r="802" spans="1:12" s="3" customFormat="1" ht="15" x14ac:dyDescent="0.25">
      <c r="A802" s="18"/>
      <c r="B802" s="19" t="s">
        <v>50</v>
      </c>
      <c r="C802" s="28"/>
      <c r="D802" s="21"/>
      <c r="E802" s="20"/>
      <c r="F802" s="21"/>
      <c r="G802" s="20"/>
      <c r="H802" s="21"/>
      <c r="I802" s="238"/>
      <c r="J802" s="168"/>
      <c r="K802" s="178"/>
      <c r="L802" s="168"/>
    </row>
    <row r="803" spans="1:12" s="3" customFormat="1" ht="15" x14ac:dyDescent="0.25">
      <c r="A803" s="18"/>
      <c r="B803" s="19"/>
      <c r="C803" s="28"/>
      <c r="D803" s="21"/>
      <c r="E803" s="20"/>
      <c r="F803" s="21"/>
      <c r="G803" s="20"/>
      <c r="H803" s="21"/>
      <c r="I803" s="238"/>
      <c r="J803" s="168"/>
      <c r="K803" s="178"/>
      <c r="L803" s="168"/>
    </row>
    <row r="804" spans="1:12" x14ac:dyDescent="0.2">
      <c r="A804" s="5" t="s">
        <v>726</v>
      </c>
      <c r="B804" s="7" t="s">
        <v>53</v>
      </c>
      <c r="C804" s="29">
        <v>1600</v>
      </c>
      <c r="D804" s="11">
        <v>166.75</v>
      </c>
      <c r="E804" s="9">
        <v>0</v>
      </c>
      <c r="F804" s="11">
        <v>986</v>
      </c>
      <c r="G804" s="9">
        <f t="shared" ref="G804:G808" si="332">C804-E804-F804</f>
        <v>614</v>
      </c>
      <c r="H804" s="11">
        <v>61.62</v>
      </c>
      <c r="I804" s="240">
        <f>'budget &amp; Treasury'!I30</f>
        <v>192</v>
      </c>
      <c r="J804" s="109">
        <f>'budget &amp; Treasury'!J30</f>
        <v>1792</v>
      </c>
      <c r="K804" s="229">
        <f>'budget &amp; Treasury'!K30</f>
        <v>1899.52</v>
      </c>
      <c r="L804" s="109">
        <f>'budget &amp; Treasury'!L30</f>
        <v>2013.4911999999999</v>
      </c>
    </row>
    <row r="805" spans="1:12" x14ac:dyDescent="0.2">
      <c r="A805" s="5" t="s">
        <v>727</v>
      </c>
      <c r="B805" s="7" t="s">
        <v>55</v>
      </c>
      <c r="C805" s="29">
        <v>33194</v>
      </c>
      <c r="D805" s="11">
        <v>3199.65</v>
      </c>
      <c r="E805" s="9">
        <v>0</v>
      </c>
      <c r="F805" s="11">
        <v>19311.14</v>
      </c>
      <c r="G805" s="9">
        <f t="shared" si="332"/>
        <v>13882.86</v>
      </c>
      <c r="H805" s="11">
        <v>58.17</v>
      </c>
      <c r="I805" s="240">
        <f>'budget &amp; Treasury'!I31</f>
        <v>2656</v>
      </c>
      <c r="J805" s="109">
        <f>'budget &amp; Treasury'!J31</f>
        <v>35850</v>
      </c>
      <c r="K805" s="229">
        <f>'budget &amp; Treasury'!K31</f>
        <v>38001</v>
      </c>
      <c r="L805" s="109">
        <f>'budget &amp; Treasury'!L31</f>
        <v>40281.06</v>
      </c>
    </row>
    <row r="806" spans="1:12" x14ac:dyDescent="0.2">
      <c r="A806" s="5" t="s">
        <v>728</v>
      </c>
      <c r="B806" s="7" t="s">
        <v>57</v>
      </c>
      <c r="C806" s="29">
        <v>503932</v>
      </c>
      <c r="D806" s="11">
        <v>35466.6</v>
      </c>
      <c r="E806" s="9">
        <v>0</v>
      </c>
      <c r="F806" s="11">
        <v>208790.76</v>
      </c>
      <c r="G806" s="9">
        <f t="shared" si="332"/>
        <v>295141.24</v>
      </c>
      <c r="H806" s="11">
        <v>41.43</v>
      </c>
      <c r="I806" s="240">
        <f>'budget &amp; Treasury'!I32</f>
        <v>0</v>
      </c>
      <c r="J806" s="109">
        <f>'budget &amp; Treasury'!J32</f>
        <v>503932</v>
      </c>
      <c r="K806" s="229">
        <f>'budget &amp; Treasury'!K32</f>
        <v>534167.92000000004</v>
      </c>
      <c r="L806" s="109">
        <f>'budget &amp; Treasury'!L32</f>
        <v>566217.9952</v>
      </c>
    </row>
    <row r="807" spans="1:12" x14ac:dyDescent="0.2">
      <c r="A807" s="5" t="s">
        <v>729</v>
      </c>
      <c r="B807" s="7" t="s">
        <v>59</v>
      </c>
      <c r="C807" s="29">
        <v>1150246</v>
      </c>
      <c r="D807" s="11">
        <v>92613.119999999995</v>
      </c>
      <c r="E807" s="9">
        <v>0</v>
      </c>
      <c r="F807" s="11">
        <v>545955.35</v>
      </c>
      <c r="G807" s="9">
        <f t="shared" si="332"/>
        <v>604290.65</v>
      </c>
      <c r="H807" s="11">
        <v>47.46</v>
      </c>
      <c r="I807" s="240">
        <f>'budget &amp; Treasury'!I33</f>
        <v>0</v>
      </c>
      <c r="J807" s="109">
        <f>'budget &amp; Treasury'!J33</f>
        <v>1150246</v>
      </c>
      <c r="K807" s="229">
        <f>'budget &amp; Treasury'!K33</f>
        <v>1219260.76</v>
      </c>
      <c r="L807" s="109">
        <f>'budget &amp; Treasury'!L33</f>
        <v>1292416.4055999999</v>
      </c>
    </row>
    <row r="808" spans="1:12" x14ac:dyDescent="0.2">
      <c r="A808" s="5" t="s">
        <v>730</v>
      </c>
      <c r="B808" s="7" t="s">
        <v>635</v>
      </c>
      <c r="C808" s="29">
        <v>104568</v>
      </c>
      <c r="D808" s="11">
        <v>6399.72</v>
      </c>
      <c r="E808" s="9">
        <v>0</v>
      </c>
      <c r="F808" s="11">
        <v>35986.199999999997</v>
      </c>
      <c r="G808" s="9">
        <f t="shared" si="332"/>
        <v>68581.8</v>
      </c>
      <c r="H808" s="11">
        <v>34.409999999999997</v>
      </c>
      <c r="I808" s="240">
        <f>'budget &amp; Treasury'!I34</f>
        <v>0</v>
      </c>
      <c r="J808" s="109">
        <f>'budget &amp; Treasury'!J34</f>
        <v>104568</v>
      </c>
      <c r="K808" s="229">
        <f>'budget &amp; Treasury'!K34</f>
        <v>110842.08</v>
      </c>
      <c r="L808" s="109">
        <f>'budget &amp; Treasury'!L34</f>
        <v>117492.6048</v>
      </c>
    </row>
    <row r="809" spans="1:12" x14ac:dyDescent="0.2">
      <c r="A809" s="5"/>
      <c r="B809" s="7"/>
      <c r="C809" s="29"/>
      <c r="D809" s="11"/>
      <c r="E809" s="9"/>
      <c r="F809" s="11"/>
      <c r="G809" s="9"/>
      <c r="H809" s="11"/>
      <c r="I809" s="240"/>
      <c r="J809" s="162"/>
      <c r="K809" s="169"/>
      <c r="L809" s="162"/>
    </row>
    <row r="810" spans="1:12" s="3" customFormat="1" ht="15" x14ac:dyDescent="0.25">
      <c r="A810" s="18"/>
      <c r="B810" s="19" t="s">
        <v>63</v>
      </c>
      <c r="C810" s="28">
        <f>SUM(C804:C809)</f>
        <v>1793540</v>
      </c>
      <c r="D810" s="36">
        <f t="shared" ref="D810:G810" si="333">SUM(D804:D809)</f>
        <v>137845.84</v>
      </c>
      <c r="E810" s="28">
        <f t="shared" si="333"/>
        <v>0</v>
      </c>
      <c r="F810" s="36">
        <f t="shared" si="333"/>
        <v>811029.45</v>
      </c>
      <c r="G810" s="28">
        <f t="shared" si="333"/>
        <v>982510.55</v>
      </c>
      <c r="H810" s="21">
        <v>45.21</v>
      </c>
      <c r="I810" s="243">
        <f t="shared" ref="I810" si="334">SUM(I804:I809)</f>
        <v>2848</v>
      </c>
      <c r="J810" s="172">
        <f t="shared" ref="J810" si="335">SUM(J804:J809)</f>
        <v>1796388</v>
      </c>
      <c r="K810" s="236">
        <f t="shared" ref="K810" si="336">SUM(K804:K809)</f>
        <v>1904171.2800000003</v>
      </c>
      <c r="L810" s="172">
        <f t="shared" ref="L810" si="337">SUM(L804:L809)</f>
        <v>2018421.5568000001</v>
      </c>
    </row>
    <row r="811" spans="1:12" s="3" customFormat="1" ht="15" x14ac:dyDescent="0.25">
      <c r="A811" s="18"/>
      <c r="B811" s="19"/>
      <c r="C811" s="28"/>
      <c r="D811" s="21"/>
      <c r="E811" s="20"/>
      <c r="F811" s="21"/>
      <c r="G811" s="20"/>
      <c r="H811" s="21"/>
      <c r="I811" s="238"/>
      <c r="J811" s="168"/>
      <c r="K811" s="178"/>
      <c r="L811" s="168"/>
    </row>
    <row r="812" spans="1:12" s="3" customFormat="1" ht="15" x14ac:dyDescent="0.25">
      <c r="A812" s="18"/>
      <c r="B812" s="19" t="s">
        <v>73</v>
      </c>
      <c r="C812" s="28">
        <f>C800+C810</f>
        <v>9231277</v>
      </c>
      <c r="D812" s="36">
        <f t="shared" ref="D812:L812" si="338">D800+D810</f>
        <v>801165.47000000009</v>
      </c>
      <c r="E812" s="28">
        <f t="shared" si="338"/>
        <v>0</v>
      </c>
      <c r="F812" s="36">
        <f t="shared" si="338"/>
        <v>4522968.42</v>
      </c>
      <c r="G812" s="28">
        <f t="shared" si="338"/>
        <v>4708308.58</v>
      </c>
      <c r="H812" s="21">
        <v>48.99</v>
      </c>
      <c r="I812" s="243">
        <f t="shared" si="338"/>
        <v>20920.799999999988</v>
      </c>
      <c r="J812" s="172">
        <f t="shared" si="338"/>
        <v>9252197.8000000007</v>
      </c>
      <c r="K812" s="236">
        <f t="shared" si="338"/>
        <v>9864534.1480000019</v>
      </c>
      <c r="L812" s="172">
        <f t="shared" si="338"/>
        <v>10432406.196880002</v>
      </c>
    </row>
    <row r="813" spans="1:12" s="3" customFormat="1" ht="15" x14ac:dyDescent="0.25">
      <c r="A813" s="18"/>
      <c r="B813" s="19"/>
      <c r="C813" s="28"/>
      <c r="D813" s="21"/>
      <c r="E813" s="20"/>
      <c r="F813" s="21"/>
      <c r="G813" s="20"/>
      <c r="H813" s="21"/>
      <c r="I813" s="238"/>
      <c r="J813" s="168"/>
      <c r="K813" s="178"/>
      <c r="L813" s="168"/>
    </row>
    <row r="814" spans="1:12" s="3" customFormat="1" ht="15" x14ac:dyDescent="0.25">
      <c r="A814" s="18"/>
      <c r="B814" s="19" t="s">
        <v>74</v>
      </c>
      <c r="C814" s="28"/>
      <c r="D814" s="21"/>
      <c r="E814" s="20"/>
      <c r="F814" s="21"/>
      <c r="G814" s="20"/>
      <c r="H814" s="21"/>
      <c r="I814" s="238"/>
      <c r="J814" s="168"/>
      <c r="K814" s="178"/>
      <c r="L814" s="168"/>
    </row>
    <row r="815" spans="1:12" s="3" customFormat="1" ht="15" x14ac:dyDescent="0.25">
      <c r="A815" s="18"/>
      <c r="B815" s="19"/>
      <c r="C815" s="28"/>
      <c r="D815" s="21"/>
      <c r="E815" s="20"/>
      <c r="F815" s="21"/>
      <c r="G815" s="20"/>
      <c r="H815" s="21"/>
      <c r="I815" s="238"/>
      <c r="J815" s="168"/>
      <c r="K815" s="178"/>
      <c r="L815" s="168"/>
    </row>
    <row r="816" spans="1:12" s="3" customFormat="1" ht="15" x14ac:dyDescent="0.25">
      <c r="A816" s="18"/>
      <c r="B816" s="19" t="s">
        <v>75</v>
      </c>
      <c r="C816" s="28"/>
      <c r="D816" s="21"/>
      <c r="E816" s="20"/>
      <c r="F816" s="21"/>
      <c r="G816" s="20"/>
      <c r="H816" s="21"/>
      <c r="I816" s="238"/>
      <c r="J816" s="168"/>
      <c r="K816" s="178"/>
      <c r="L816" s="168"/>
    </row>
    <row r="817" spans="1:12" s="3" customFormat="1" ht="15" x14ac:dyDescent="0.25">
      <c r="A817" s="18"/>
      <c r="B817" s="19"/>
      <c r="C817" s="28"/>
      <c r="D817" s="21"/>
      <c r="E817" s="20"/>
      <c r="F817" s="21"/>
      <c r="G817" s="20"/>
      <c r="H817" s="21"/>
      <c r="I817" s="238"/>
      <c r="J817" s="168"/>
      <c r="K817" s="178"/>
      <c r="L817" s="168"/>
    </row>
    <row r="818" spans="1:12" x14ac:dyDescent="0.2">
      <c r="A818" s="5" t="s">
        <v>731</v>
      </c>
      <c r="B818" s="7" t="s">
        <v>77</v>
      </c>
      <c r="C818" s="29">
        <v>0</v>
      </c>
      <c r="D818" s="11">
        <v>0</v>
      </c>
      <c r="E818" s="9">
        <v>0</v>
      </c>
      <c r="F818" s="11">
        <v>0</v>
      </c>
      <c r="G818" s="9">
        <v>0</v>
      </c>
      <c r="H818" s="11">
        <v>0</v>
      </c>
      <c r="I818" s="240"/>
      <c r="J818" s="162">
        <f t="shared" ref="J818" si="339">C818+I818</f>
        <v>0</v>
      </c>
      <c r="K818" s="169"/>
      <c r="L818" s="162"/>
    </row>
    <row r="819" spans="1:12" x14ac:dyDescent="0.2">
      <c r="A819" s="5" t="s">
        <v>732</v>
      </c>
      <c r="B819" s="7" t="s">
        <v>79</v>
      </c>
      <c r="C819" s="29">
        <v>100000</v>
      </c>
      <c r="D819" s="11">
        <v>0</v>
      </c>
      <c r="E819" s="9">
        <v>0</v>
      </c>
      <c r="F819" s="11">
        <v>84062.46</v>
      </c>
      <c r="G819" s="9">
        <f t="shared" ref="G819:G842" si="340">C819-E819-F819</f>
        <v>15937.539999999994</v>
      </c>
      <c r="H819" s="11">
        <v>84.06</v>
      </c>
      <c r="I819" s="240">
        <f>'budget &amp; Treasury'!I45</f>
        <v>224011</v>
      </c>
      <c r="J819" s="109">
        <f>'budget &amp; Treasury'!J45</f>
        <v>324011</v>
      </c>
      <c r="K819" s="229">
        <f>'budget &amp; Treasury'!K45</f>
        <v>343451.66</v>
      </c>
      <c r="L819" s="109">
        <f>'budget &amp; Treasury'!L45</f>
        <v>364058.75959999999</v>
      </c>
    </row>
    <row r="820" spans="1:12" x14ac:dyDescent="0.2">
      <c r="A820" s="5" t="s">
        <v>733</v>
      </c>
      <c r="B820" s="7" t="s">
        <v>87</v>
      </c>
      <c r="C820" s="29">
        <v>80000</v>
      </c>
      <c r="D820" s="11">
        <v>0</v>
      </c>
      <c r="E820" s="9">
        <v>0</v>
      </c>
      <c r="F820" s="11">
        <v>78286.23</v>
      </c>
      <c r="G820" s="9">
        <f t="shared" si="340"/>
        <v>1713.7700000000041</v>
      </c>
      <c r="H820" s="11">
        <v>97.85</v>
      </c>
      <c r="I820" s="240">
        <f>'budget &amp; Treasury'!I46</f>
        <v>40000</v>
      </c>
      <c r="J820" s="109">
        <f>'budget &amp; Treasury'!J46</f>
        <v>120000</v>
      </c>
      <c r="K820" s="229">
        <f>'budget &amp; Treasury'!K46</f>
        <v>127200</v>
      </c>
      <c r="L820" s="109">
        <f>'budget &amp; Treasury'!L46</f>
        <v>134832</v>
      </c>
    </row>
    <row r="821" spans="1:12" x14ac:dyDescent="0.2">
      <c r="A821" s="5" t="s">
        <v>734</v>
      </c>
      <c r="B821" s="7" t="s">
        <v>95</v>
      </c>
      <c r="C821" s="29">
        <v>317400</v>
      </c>
      <c r="D821" s="11">
        <v>22503.46</v>
      </c>
      <c r="E821" s="9">
        <v>0</v>
      </c>
      <c r="F821" s="11">
        <v>146936.4</v>
      </c>
      <c r="G821" s="9">
        <f t="shared" si="340"/>
        <v>170463.6</v>
      </c>
      <c r="H821" s="11">
        <v>46.29</v>
      </c>
      <c r="I821" s="240">
        <f>'budget &amp; Treasury'!I47</f>
        <v>0</v>
      </c>
      <c r="J821" s="109">
        <f>'budget &amp; Treasury'!J47</f>
        <v>317400</v>
      </c>
      <c r="K821" s="229">
        <f>'budget &amp; Treasury'!K47</f>
        <v>336444</v>
      </c>
      <c r="L821" s="109">
        <f>'budget &amp; Treasury'!L47</f>
        <v>356630.64</v>
      </c>
    </row>
    <row r="822" spans="1:12" x14ac:dyDescent="0.2">
      <c r="A822" s="5" t="s">
        <v>735</v>
      </c>
      <c r="B822" s="7" t="s">
        <v>103</v>
      </c>
      <c r="C822" s="29">
        <v>137540</v>
      </c>
      <c r="D822" s="11">
        <v>9588</v>
      </c>
      <c r="E822" s="9">
        <v>0</v>
      </c>
      <c r="F822" s="11">
        <v>57528</v>
      </c>
      <c r="G822" s="9">
        <f t="shared" si="340"/>
        <v>80012</v>
      </c>
      <c r="H822" s="11">
        <v>41.82</v>
      </c>
      <c r="I822" s="240">
        <f>'budget &amp; Treasury'!I48</f>
        <v>0</v>
      </c>
      <c r="J822" s="109">
        <f>'budget &amp; Treasury'!J48</f>
        <v>137540</v>
      </c>
      <c r="K822" s="229">
        <f>'budget &amp; Treasury'!K48</f>
        <v>145792.4</v>
      </c>
      <c r="L822" s="109">
        <f>'budget &amp; Treasury'!L48</f>
        <v>154539.94399999999</v>
      </c>
    </row>
    <row r="823" spans="1:12" x14ac:dyDescent="0.2">
      <c r="A823" s="5" t="s">
        <v>736</v>
      </c>
      <c r="B823" s="7" t="s">
        <v>111</v>
      </c>
      <c r="C823" s="29">
        <v>750000</v>
      </c>
      <c r="D823" s="11">
        <v>0</v>
      </c>
      <c r="E823" s="9">
        <v>0</v>
      </c>
      <c r="F823" s="11">
        <v>395091.08</v>
      </c>
      <c r="G823" s="9">
        <f t="shared" si="340"/>
        <v>354908.92</v>
      </c>
      <c r="H823" s="11">
        <v>52.67</v>
      </c>
      <c r="I823" s="240">
        <f>'budget &amp; Treasury'!I49</f>
        <v>0</v>
      </c>
      <c r="J823" s="109">
        <f>'budget &amp; Treasury'!J49</f>
        <v>750000</v>
      </c>
      <c r="K823" s="229">
        <f>'budget &amp; Treasury'!K49</f>
        <v>795000</v>
      </c>
      <c r="L823" s="109">
        <f>'budget &amp; Treasury'!L49</f>
        <v>842700</v>
      </c>
    </row>
    <row r="824" spans="1:12" x14ac:dyDescent="0.2">
      <c r="A824" s="5" t="s">
        <v>737</v>
      </c>
      <c r="B824" s="7" t="s">
        <v>113</v>
      </c>
      <c r="C824" s="29">
        <v>500000</v>
      </c>
      <c r="D824" s="11">
        <v>0</v>
      </c>
      <c r="E824" s="9">
        <v>0</v>
      </c>
      <c r="F824" s="11">
        <v>0</v>
      </c>
      <c r="G824" s="9">
        <f t="shared" si="340"/>
        <v>500000</v>
      </c>
      <c r="H824" s="11">
        <v>0</v>
      </c>
      <c r="I824" s="240">
        <f>'budget &amp; Treasury'!I50</f>
        <v>-500000</v>
      </c>
      <c r="J824" s="109">
        <f>'budget &amp; Treasury'!J50</f>
        <v>0</v>
      </c>
      <c r="K824" s="229">
        <f>'budget &amp; Treasury'!K50</f>
        <v>0</v>
      </c>
      <c r="L824" s="109">
        <f>'budget &amp; Treasury'!L50</f>
        <v>0</v>
      </c>
    </row>
    <row r="825" spans="1:12" x14ac:dyDescent="0.2">
      <c r="A825" s="5" t="s">
        <v>738</v>
      </c>
      <c r="B825" s="7" t="s">
        <v>117</v>
      </c>
      <c r="C825" s="29">
        <v>600000</v>
      </c>
      <c r="D825" s="11">
        <v>300985</v>
      </c>
      <c r="E825" s="9">
        <v>0</v>
      </c>
      <c r="F825" s="11">
        <v>421235</v>
      </c>
      <c r="G825" s="9">
        <f t="shared" si="340"/>
        <v>178765</v>
      </c>
      <c r="H825" s="11">
        <v>70.2</v>
      </c>
      <c r="I825" s="240">
        <f>'budget &amp; Treasury'!I51</f>
        <v>500000</v>
      </c>
      <c r="J825" s="109">
        <f>'budget &amp; Treasury'!J51</f>
        <v>1100000</v>
      </c>
      <c r="K825" s="229">
        <f>'budget &amp; Treasury'!K51</f>
        <v>0</v>
      </c>
      <c r="L825" s="109">
        <f>'budget &amp; Treasury'!L51</f>
        <v>0</v>
      </c>
    </row>
    <row r="826" spans="1:12" x14ac:dyDescent="0.2">
      <c r="A826" s="5" t="s">
        <v>739</v>
      </c>
      <c r="B826" s="7" t="s">
        <v>119</v>
      </c>
      <c r="C826" s="29">
        <v>7037</v>
      </c>
      <c r="D826" s="11">
        <v>0</v>
      </c>
      <c r="E826" s="9">
        <v>0</v>
      </c>
      <c r="F826" s="11">
        <v>2192.98</v>
      </c>
      <c r="G826" s="9">
        <f t="shared" si="340"/>
        <v>4844.0200000000004</v>
      </c>
      <c r="H826" s="11">
        <v>31.16</v>
      </c>
      <c r="I826" s="240">
        <f>'budget &amp; Treasury'!I52</f>
        <v>0</v>
      </c>
      <c r="J826" s="109">
        <f>'budget &amp; Treasury'!J52</f>
        <v>7037</v>
      </c>
      <c r="K826" s="229">
        <f>'budget &amp; Treasury'!K52</f>
        <v>7459.22</v>
      </c>
      <c r="L826" s="109">
        <f>'budget &amp; Treasury'!L52</f>
        <v>7906.7732000000005</v>
      </c>
    </row>
    <row r="827" spans="1:12" x14ac:dyDescent="0.2">
      <c r="A827" s="5" t="s">
        <v>740</v>
      </c>
      <c r="B827" s="7" t="s">
        <v>126</v>
      </c>
      <c r="C827" s="29">
        <v>8500000</v>
      </c>
      <c r="D827" s="11">
        <v>726420.75</v>
      </c>
      <c r="E827" s="9">
        <v>0</v>
      </c>
      <c r="F827" s="11">
        <v>4131089.03</v>
      </c>
      <c r="G827" s="9">
        <f t="shared" si="340"/>
        <v>4368910.9700000007</v>
      </c>
      <c r="H827" s="11">
        <v>48.6</v>
      </c>
      <c r="I827" s="240">
        <f>'budget &amp; Treasury'!I53</f>
        <v>0</v>
      </c>
      <c r="J827" s="109">
        <f>'budget &amp; Treasury'!J53</f>
        <v>8500000</v>
      </c>
      <c r="K827" s="229">
        <f>'budget &amp; Treasury'!K53</f>
        <v>9010000</v>
      </c>
      <c r="L827" s="109">
        <f>'budget &amp; Treasury'!L53</f>
        <v>9550600</v>
      </c>
    </row>
    <row r="828" spans="1:12" s="323" customFormat="1" x14ac:dyDescent="0.2">
      <c r="A828" s="319" t="s">
        <v>741</v>
      </c>
      <c r="B828" s="320" t="s">
        <v>742</v>
      </c>
      <c r="C828" s="321">
        <v>124011</v>
      </c>
      <c r="D828" s="322">
        <v>0</v>
      </c>
      <c r="E828" s="241">
        <v>0</v>
      </c>
      <c r="F828" s="322">
        <v>0</v>
      </c>
      <c r="G828" s="241">
        <f t="shared" si="340"/>
        <v>124011</v>
      </c>
      <c r="H828" s="322">
        <v>0</v>
      </c>
      <c r="I828" s="240">
        <f>'budget &amp; Treasury'!I54</f>
        <v>-124011</v>
      </c>
      <c r="J828" s="109">
        <f>'budget &amp; Treasury'!J54</f>
        <v>0</v>
      </c>
      <c r="K828" s="229">
        <f>'budget &amp; Treasury'!K54</f>
        <v>0</v>
      </c>
      <c r="L828" s="109">
        <f>'budget &amp; Treasury'!L54</f>
        <v>0</v>
      </c>
    </row>
    <row r="829" spans="1:12" s="323" customFormat="1" x14ac:dyDescent="0.2">
      <c r="A829" s="319" t="s">
        <v>743</v>
      </c>
      <c r="B829" s="320" t="s">
        <v>133</v>
      </c>
      <c r="C829" s="321">
        <v>2890272</v>
      </c>
      <c r="D829" s="322">
        <v>211040.25</v>
      </c>
      <c r="E829" s="241">
        <v>0</v>
      </c>
      <c r="F829" s="322">
        <v>1270021.68</v>
      </c>
      <c r="G829" s="241">
        <f t="shared" si="340"/>
        <v>1620250.32</v>
      </c>
      <c r="H829" s="322">
        <v>43.94</v>
      </c>
      <c r="I829" s="240">
        <f>'budget &amp; Treasury'!I55</f>
        <v>0</v>
      </c>
      <c r="J829" s="109">
        <f>'budget &amp; Treasury'!J55</f>
        <v>2890272</v>
      </c>
      <c r="K829" s="229">
        <f>'budget &amp; Treasury'!K55</f>
        <v>3063688.32</v>
      </c>
      <c r="L829" s="109">
        <f>'budget &amp; Treasury'!L55</f>
        <v>3247509.6191999996</v>
      </c>
    </row>
    <row r="830" spans="1:12" s="323" customFormat="1" x14ac:dyDescent="0.2">
      <c r="A830" s="319" t="s">
        <v>744</v>
      </c>
      <c r="B830" s="320" t="s">
        <v>149</v>
      </c>
      <c r="C830" s="321">
        <v>1000000</v>
      </c>
      <c r="D830" s="322">
        <v>0</v>
      </c>
      <c r="E830" s="241">
        <v>0</v>
      </c>
      <c r="F830" s="322">
        <v>839840.11</v>
      </c>
      <c r="G830" s="241">
        <f t="shared" si="340"/>
        <v>160159.89000000001</v>
      </c>
      <c r="H830" s="322">
        <v>83.98</v>
      </c>
      <c r="I830" s="240">
        <f>'budget &amp; Treasury'!I56</f>
        <v>-110000</v>
      </c>
      <c r="J830" s="109">
        <f>'budget &amp; Treasury'!J56</f>
        <v>890000</v>
      </c>
      <c r="K830" s="229">
        <f>'budget &amp; Treasury'!K56</f>
        <v>943400</v>
      </c>
      <c r="L830" s="109">
        <f>'budget &amp; Treasury'!L56</f>
        <v>1000004</v>
      </c>
    </row>
    <row r="831" spans="1:12" s="323" customFormat="1" x14ac:dyDescent="0.2">
      <c r="A831" s="319" t="s">
        <v>745</v>
      </c>
      <c r="B831" s="320" t="s">
        <v>151</v>
      </c>
      <c r="C831" s="321">
        <v>26450</v>
      </c>
      <c r="D831" s="322">
        <v>1378.77</v>
      </c>
      <c r="E831" s="241">
        <v>0</v>
      </c>
      <c r="F831" s="322">
        <v>18046.93</v>
      </c>
      <c r="G831" s="241">
        <f t="shared" si="340"/>
        <v>8403.07</v>
      </c>
      <c r="H831" s="322">
        <v>68.23</v>
      </c>
      <c r="I831" s="240">
        <f>'budget &amp; Treasury'!I57</f>
        <v>0</v>
      </c>
      <c r="J831" s="109">
        <f>'budget &amp; Treasury'!J57</f>
        <v>26450</v>
      </c>
      <c r="K831" s="229">
        <f>'budget &amp; Treasury'!K57</f>
        <v>28037</v>
      </c>
      <c r="L831" s="109">
        <f>'budget &amp; Treasury'!L57</f>
        <v>29719.22</v>
      </c>
    </row>
    <row r="832" spans="1:12" x14ac:dyDescent="0.2">
      <c r="A832" s="5" t="s">
        <v>746</v>
      </c>
      <c r="B832" s="7" t="s">
        <v>217</v>
      </c>
      <c r="C832" s="29">
        <v>2000</v>
      </c>
      <c r="D832" s="11">
        <v>0</v>
      </c>
      <c r="E832" s="9">
        <v>0</v>
      </c>
      <c r="F832" s="11">
        <v>1993</v>
      </c>
      <c r="G832" s="9">
        <f t="shared" si="340"/>
        <v>7</v>
      </c>
      <c r="H832" s="11">
        <v>99.65</v>
      </c>
      <c r="I832" s="241">
        <f>'budget &amp; Treasury'!I58</f>
        <v>0</v>
      </c>
      <c r="J832" s="109">
        <f>'budget &amp; Treasury'!J58</f>
        <v>2000</v>
      </c>
      <c r="K832" s="229">
        <f>'budget &amp; Treasury'!K58</f>
        <v>2120</v>
      </c>
      <c r="L832" s="109">
        <f>'budget &amp; Treasury'!L58</f>
        <v>2247.1999999999998</v>
      </c>
    </row>
    <row r="833" spans="1:12" x14ac:dyDescent="0.2">
      <c r="A833" s="5" t="s">
        <v>747</v>
      </c>
      <c r="B833" s="7" t="s">
        <v>228</v>
      </c>
      <c r="C833" s="29">
        <v>470000</v>
      </c>
      <c r="D833" s="11">
        <v>0</v>
      </c>
      <c r="E833" s="9">
        <v>0</v>
      </c>
      <c r="F833" s="11">
        <v>0</v>
      </c>
      <c r="G833" s="9">
        <f t="shared" si="340"/>
        <v>470000</v>
      </c>
      <c r="H833" s="11">
        <v>0</v>
      </c>
      <c r="I833" s="241">
        <f>'budget &amp; Treasury'!I59</f>
        <v>258376</v>
      </c>
      <c r="J833" s="109">
        <f>'budget &amp; Treasury'!J59</f>
        <v>728376</v>
      </c>
      <c r="K833" s="229">
        <f>'budget &amp; Treasury'!K59</f>
        <v>772078.56</v>
      </c>
      <c r="L833" s="109">
        <f>'budget &amp; Treasury'!L59</f>
        <v>818403.27360000007</v>
      </c>
    </row>
    <row r="834" spans="1:12" x14ac:dyDescent="0.2">
      <c r="A834" s="5" t="s">
        <v>748</v>
      </c>
      <c r="B834" s="7" t="s">
        <v>1031</v>
      </c>
      <c r="C834" s="29">
        <v>330000</v>
      </c>
      <c r="D834" s="11">
        <v>0</v>
      </c>
      <c r="E834" s="9">
        <v>0</v>
      </c>
      <c r="F834" s="11">
        <v>0</v>
      </c>
      <c r="G834" s="9">
        <f t="shared" si="340"/>
        <v>330000</v>
      </c>
      <c r="H834" s="11">
        <v>0</v>
      </c>
      <c r="I834" s="241">
        <f>'budget &amp; Treasury'!I60</f>
        <v>-208176</v>
      </c>
      <c r="J834" s="109">
        <f>'budget &amp; Treasury'!J60</f>
        <v>121824</v>
      </c>
      <c r="K834" s="229">
        <f>'budget &amp; Treasury'!K60</f>
        <v>0</v>
      </c>
      <c r="L834" s="109">
        <f>'budget &amp; Treasury'!L60</f>
        <v>0</v>
      </c>
    </row>
    <row r="835" spans="1:12" x14ac:dyDescent="0.2">
      <c r="A835" s="5" t="s">
        <v>749</v>
      </c>
      <c r="B835" s="7" t="s">
        <v>232</v>
      </c>
      <c r="C835" s="29">
        <v>500000</v>
      </c>
      <c r="D835" s="11">
        <v>0</v>
      </c>
      <c r="E835" s="9">
        <v>0</v>
      </c>
      <c r="F835" s="11">
        <v>0</v>
      </c>
      <c r="G835" s="9">
        <f t="shared" si="340"/>
        <v>500000</v>
      </c>
      <c r="H835" s="11">
        <v>0</v>
      </c>
      <c r="I835" s="240">
        <f>'budget &amp; Treasury'!I61</f>
        <v>-424011</v>
      </c>
      <c r="J835" s="109">
        <f>'budget &amp; Treasury'!J61</f>
        <v>75989</v>
      </c>
      <c r="K835" s="229">
        <f>'budget &amp; Treasury'!K61</f>
        <v>1500000</v>
      </c>
      <c r="L835" s="109">
        <f>'budget &amp; Treasury'!L61</f>
        <v>500000</v>
      </c>
    </row>
    <row r="836" spans="1:12" x14ac:dyDescent="0.2">
      <c r="A836" s="5" t="s">
        <v>750</v>
      </c>
      <c r="B836" s="7" t="s">
        <v>242</v>
      </c>
      <c r="C836" s="29">
        <v>634800</v>
      </c>
      <c r="D836" s="11">
        <v>94276</v>
      </c>
      <c r="E836" s="9">
        <v>32575.439999999999</v>
      </c>
      <c r="F836" s="11">
        <v>406924.09</v>
      </c>
      <c r="G836" s="9">
        <f t="shared" si="340"/>
        <v>195300.47000000003</v>
      </c>
      <c r="H836" s="11">
        <v>64.099999999999994</v>
      </c>
      <c r="I836" s="240">
        <f>'budget &amp; Treasury'!I62</f>
        <v>88872</v>
      </c>
      <c r="J836" s="109">
        <f>'budget &amp; Treasury'!J62</f>
        <v>723672</v>
      </c>
      <c r="K836" s="229">
        <f>'budget &amp; Treasury'!K62</f>
        <v>767092.32</v>
      </c>
      <c r="L836" s="109">
        <f>'budget &amp; Treasury'!L62</f>
        <v>813117.85919999995</v>
      </c>
    </row>
    <row r="837" spans="1:12" s="323" customFormat="1" x14ac:dyDescent="0.2">
      <c r="A837" s="319" t="s">
        <v>751</v>
      </c>
      <c r="B837" s="320" t="s">
        <v>256</v>
      </c>
      <c r="C837" s="321">
        <v>300000</v>
      </c>
      <c r="D837" s="322">
        <v>68606.649999999994</v>
      </c>
      <c r="E837" s="241">
        <v>0</v>
      </c>
      <c r="F837" s="322">
        <v>88841.39</v>
      </c>
      <c r="G837" s="241">
        <f t="shared" si="340"/>
        <v>211158.61</v>
      </c>
      <c r="H837" s="322">
        <v>29.61</v>
      </c>
      <c r="I837" s="240">
        <f>'budget &amp; Treasury'!I63</f>
        <v>76608</v>
      </c>
      <c r="J837" s="109">
        <f>'budget &amp; Treasury'!J63</f>
        <v>376608</v>
      </c>
      <c r="K837" s="229">
        <f>'budget &amp; Treasury'!K63</f>
        <v>399204.48</v>
      </c>
      <c r="L837" s="109">
        <f>'budget &amp; Treasury'!L63</f>
        <v>423156.7488</v>
      </c>
    </row>
    <row r="838" spans="1:12" s="323" customFormat="1" x14ac:dyDescent="0.2">
      <c r="A838" s="319" t="s">
        <v>752</v>
      </c>
      <c r="B838" s="320" t="s">
        <v>262</v>
      </c>
      <c r="C838" s="321">
        <v>15000</v>
      </c>
      <c r="D838" s="322">
        <v>0</v>
      </c>
      <c r="E838" s="241">
        <v>0</v>
      </c>
      <c r="F838" s="322">
        <v>0</v>
      </c>
      <c r="G838" s="241">
        <f t="shared" si="340"/>
        <v>15000</v>
      </c>
      <c r="H838" s="322">
        <v>0</v>
      </c>
      <c r="I838" s="240">
        <f>'budget &amp; Treasury'!I64</f>
        <v>0</v>
      </c>
      <c r="J838" s="109">
        <f>'budget &amp; Treasury'!J64</f>
        <v>15000</v>
      </c>
      <c r="K838" s="229">
        <f>'budget &amp; Treasury'!K64</f>
        <v>15900</v>
      </c>
      <c r="L838" s="109">
        <f>'budget &amp; Treasury'!L64</f>
        <v>16854</v>
      </c>
    </row>
    <row r="839" spans="1:12" s="323" customFormat="1" x14ac:dyDescent="0.2">
      <c r="A839" s="319" t="s">
        <v>753</v>
      </c>
      <c r="B839" s="320" t="s">
        <v>264</v>
      </c>
      <c r="C839" s="321">
        <v>1450000</v>
      </c>
      <c r="D839" s="322">
        <v>0</v>
      </c>
      <c r="E839" s="241">
        <v>0</v>
      </c>
      <c r="F839" s="322">
        <v>0</v>
      </c>
      <c r="G839" s="241">
        <f t="shared" si="340"/>
        <v>1450000</v>
      </c>
      <c r="H839" s="322">
        <v>0</v>
      </c>
      <c r="I839" s="240">
        <f>'budget &amp; Treasury'!I65</f>
        <v>0</v>
      </c>
      <c r="J839" s="109">
        <f>'budget &amp; Treasury'!J65</f>
        <v>1450000</v>
      </c>
      <c r="K839" s="229">
        <f>'budget &amp; Treasury'!K65</f>
        <v>0</v>
      </c>
      <c r="L839" s="109">
        <f>'budget &amp; Treasury'!L65</f>
        <v>0</v>
      </c>
    </row>
    <row r="840" spans="1:12" s="323" customFormat="1" x14ac:dyDescent="0.2">
      <c r="A840" s="319" t="s">
        <v>754</v>
      </c>
      <c r="B840" s="320" t="s">
        <v>266</v>
      </c>
      <c r="C840" s="321">
        <v>200000</v>
      </c>
      <c r="D840" s="322">
        <v>10000</v>
      </c>
      <c r="E840" s="241">
        <v>0</v>
      </c>
      <c r="F840" s="322">
        <v>71403.509999999995</v>
      </c>
      <c r="G840" s="241">
        <f t="shared" si="340"/>
        <v>128596.49</v>
      </c>
      <c r="H840" s="322">
        <v>35.700000000000003</v>
      </c>
      <c r="I840" s="240">
        <f>'budget &amp; Treasury'!I66</f>
        <v>-50200</v>
      </c>
      <c r="J840" s="109">
        <f>'budget &amp; Treasury'!J66</f>
        <v>149800</v>
      </c>
      <c r="K840" s="229">
        <f>'budget &amp; Treasury'!K66</f>
        <v>158788</v>
      </c>
      <c r="L840" s="109">
        <f>'budget &amp; Treasury'!L66</f>
        <v>168315.28</v>
      </c>
    </row>
    <row r="841" spans="1:12" s="323" customFormat="1" x14ac:dyDescent="0.2">
      <c r="A841" s="319" t="s">
        <v>755</v>
      </c>
      <c r="B841" s="320" t="s">
        <v>706</v>
      </c>
      <c r="C841" s="321">
        <v>3170280</v>
      </c>
      <c r="D841" s="322">
        <v>0</v>
      </c>
      <c r="E841" s="241">
        <v>0</v>
      </c>
      <c r="F841" s="322">
        <v>0</v>
      </c>
      <c r="G841" s="241">
        <f t="shared" si="340"/>
        <v>3170280</v>
      </c>
      <c r="H841" s="322">
        <v>0</v>
      </c>
      <c r="I841" s="240">
        <f>'budget &amp; Treasury'!I67</f>
        <v>2829720</v>
      </c>
      <c r="J841" s="109">
        <f>'budget &amp; Treasury'!J67</f>
        <v>6000000</v>
      </c>
      <c r="K841" s="229">
        <f>'budget &amp; Treasury'!K67</f>
        <v>6360000</v>
      </c>
      <c r="L841" s="109">
        <f>'budget &amp; Treasury'!L67</f>
        <v>6741600</v>
      </c>
    </row>
    <row r="842" spans="1:12" s="323" customFormat="1" x14ac:dyDescent="0.2">
      <c r="A842" s="319" t="s">
        <v>756</v>
      </c>
      <c r="B842" s="320" t="s">
        <v>286</v>
      </c>
      <c r="C842" s="321">
        <v>110498</v>
      </c>
      <c r="D842" s="322">
        <v>0</v>
      </c>
      <c r="E842" s="241">
        <v>0</v>
      </c>
      <c r="F842" s="322">
        <v>96491.23</v>
      </c>
      <c r="G842" s="241">
        <f t="shared" si="340"/>
        <v>14006.770000000004</v>
      </c>
      <c r="H842" s="322">
        <v>87.32</v>
      </c>
      <c r="I842" s="240">
        <f>'budget &amp; Treasury'!I68</f>
        <v>400000</v>
      </c>
      <c r="J842" s="109">
        <f>'budget &amp; Treasury'!J68</f>
        <v>510498</v>
      </c>
      <c r="K842" s="229">
        <f>'budget &amp; Treasury'!K68</f>
        <v>541127.88</v>
      </c>
      <c r="L842" s="109">
        <f>'budget &amp; Treasury'!L68</f>
        <v>573595.55280000006</v>
      </c>
    </row>
    <row r="843" spans="1:12" s="323" customFormat="1" x14ac:dyDescent="0.2">
      <c r="A843" s="319"/>
      <c r="B843" s="320"/>
      <c r="C843" s="321"/>
      <c r="D843" s="322"/>
      <c r="E843" s="241"/>
      <c r="F843" s="322"/>
      <c r="G843" s="241"/>
      <c r="H843" s="322"/>
      <c r="I843" s="240"/>
      <c r="J843" s="109"/>
      <c r="K843" s="229"/>
      <c r="L843" s="109"/>
    </row>
    <row r="844" spans="1:12" s="3" customFormat="1" ht="15" x14ac:dyDescent="0.25">
      <c r="A844" s="18"/>
      <c r="B844" s="19" t="s">
        <v>287</v>
      </c>
      <c r="C844" s="28">
        <f>SUM(C818:C843)</f>
        <v>22215288</v>
      </c>
      <c r="D844" s="36">
        <f>SUM(D818:D843)</f>
        <v>1444798.88</v>
      </c>
      <c r="E844" s="28">
        <f>SUM(E818:E843)</f>
        <v>32575.439999999999</v>
      </c>
      <c r="F844" s="36">
        <f>SUM(F818:F843)</f>
        <v>8109983.1199999992</v>
      </c>
      <c r="G844" s="28">
        <f>SUM(G818:G843)</f>
        <v>14072729.440000001</v>
      </c>
      <c r="H844" s="21">
        <v>36.5</v>
      </c>
      <c r="I844" s="243">
        <f>SUM(I818:I843)</f>
        <v>3001189</v>
      </c>
      <c r="J844" s="172">
        <f>SUM(J818:J843)</f>
        <v>25216477</v>
      </c>
      <c r="K844" s="236">
        <f>SUM(K818:K843)</f>
        <v>25316783.84</v>
      </c>
      <c r="L844" s="172">
        <f>SUM(L818:L843)</f>
        <v>25745790.8704</v>
      </c>
    </row>
    <row r="845" spans="1:12" x14ac:dyDescent="0.2">
      <c r="A845" s="5"/>
      <c r="B845" s="7"/>
      <c r="C845" s="29"/>
      <c r="D845" s="11"/>
      <c r="E845" s="9"/>
      <c r="F845" s="11"/>
      <c r="G845" s="9"/>
      <c r="H845" s="11"/>
      <c r="I845" s="240"/>
      <c r="J845" s="162"/>
      <c r="K845" s="169"/>
      <c r="L845" s="162"/>
    </row>
    <row r="846" spans="1:12" s="3" customFormat="1" ht="15" x14ac:dyDescent="0.25">
      <c r="A846" s="18"/>
      <c r="B846" s="19" t="s">
        <v>292</v>
      </c>
      <c r="C846" s="28">
        <f>C844</f>
        <v>22215288</v>
      </c>
      <c r="D846" s="36">
        <f t="shared" ref="D846:G846" si="341">D844</f>
        <v>1444798.88</v>
      </c>
      <c r="E846" s="28">
        <f t="shared" si="341"/>
        <v>32575.439999999999</v>
      </c>
      <c r="F846" s="36">
        <f t="shared" si="341"/>
        <v>8109983.1199999992</v>
      </c>
      <c r="G846" s="28">
        <f t="shared" si="341"/>
        <v>14072729.440000001</v>
      </c>
      <c r="H846" s="21">
        <v>36.5</v>
      </c>
      <c r="I846" s="243">
        <f t="shared" ref="I846:L846" si="342">I844</f>
        <v>3001189</v>
      </c>
      <c r="J846" s="172">
        <f t="shared" si="342"/>
        <v>25216477</v>
      </c>
      <c r="K846" s="236">
        <f t="shared" si="342"/>
        <v>25316783.84</v>
      </c>
      <c r="L846" s="172">
        <f t="shared" si="342"/>
        <v>25745790.8704</v>
      </c>
    </row>
    <row r="847" spans="1:12" s="3" customFormat="1" ht="15" x14ac:dyDescent="0.25">
      <c r="A847" s="18"/>
      <c r="B847" s="19"/>
      <c r="C847" s="28"/>
      <c r="D847" s="21"/>
      <c r="E847" s="20"/>
      <c r="F847" s="21"/>
      <c r="G847" s="20"/>
      <c r="H847" s="21"/>
      <c r="I847" s="238"/>
      <c r="J847" s="168"/>
      <c r="K847" s="178"/>
      <c r="L847" s="168"/>
    </row>
    <row r="848" spans="1:12" s="3" customFormat="1" ht="15" x14ac:dyDescent="0.25">
      <c r="A848" s="18"/>
      <c r="B848" s="19" t="s">
        <v>324</v>
      </c>
      <c r="C848" s="28"/>
      <c r="D848" s="21"/>
      <c r="E848" s="20"/>
      <c r="F848" s="21"/>
      <c r="G848" s="20"/>
      <c r="H848" s="21"/>
      <c r="I848" s="238"/>
      <c r="J848" s="168"/>
      <c r="K848" s="178"/>
      <c r="L848" s="168"/>
    </row>
    <row r="849" spans="1:12" s="3" customFormat="1" ht="15" x14ac:dyDescent="0.25">
      <c r="A849" s="18"/>
      <c r="B849" s="19"/>
      <c r="C849" s="28"/>
      <c r="D849" s="21"/>
      <c r="E849" s="20"/>
      <c r="F849" s="21"/>
      <c r="G849" s="20"/>
      <c r="H849" s="21"/>
      <c r="I849" s="238"/>
      <c r="J849" s="168"/>
      <c r="K849" s="178"/>
      <c r="L849" s="168"/>
    </row>
    <row r="850" spans="1:12" x14ac:dyDescent="0.2">
      <c r="A850" s="5" t="s">
        <v>757</v>
      </c>
      <c r="B850" s="7" t="s">
        <v>758</v>
      </c>
      <c r="C850" s="29">
        <v>0</v>
      </c>
      <c r="D850" s="11">
        <v>25579.8</v>
      </c>
      <c r="E850" s="9">
        <v>0</v>
      </c>
      <c r="F850" s="11">
        <v>182247.5</v>
      </c>
      <c r="G850" s="9">
        <f t="shared" ref="G850:G852" si="343">C850-E850-F850</f>
        <v>-182247.5</v>
      </c>
      <c r="H850" s="11">
        <v>0</v>
      </c>
      <c r="I850" s="240">
        <f>'budget &amp; Treasury'!I76</f>
        <v>200000</v>
      </c>
      <c r="J850" s="109">
        <f>'budget &amp; Treasury'!J76</f>
        <v>200000</v>
      </c>
      <c r="K850" s="229">
        <f>'budget &amp; Treasury'!K76</f>
        <v>0</v>
      </c>
      <c r="L850" s="109">
        <f>'budget &amp; Treasury'!L76</f>
        <v>0</v>
      </c>
    </row>
    <row r="851" spans="1:12" x14ac:dyDescent="0.2">
      <c r="A851" s="5" t="s">
        <v>759</v>
      </c>
      <c r="B851" s="7" t="s">
        <v>760</v>
      </c>
      <c r="C851" s="29">
        <v>0</v>
      </c>
      <c r="D851" s="11">
        <v>1003.51</v>
      </c>
      <c r="E851" s="9">
        <v>0</v>
      </c>
      <c r="F851" s="11">
        <v>6021.06</v>
      </c>
      <c r="G851" s="9">
        <f t="shared" si="343"/>
        <v>-6021.06</v>
      </c>
      <c r="H851" s="11">
        <v>0</v>
      </c>
      <c r="I851" s="240">
        <f>'budget &amp; Treasury'!I77</f>
        <v>10000</v>
      </c>
      <c r="J851" s="109">
        <f>'budget &amp; Treasury'!J77</f>
        <v>10000</v>
      </c>
      <c r="K851" s="229">
        <f>'budget &amp; Treasury'!K77</f>
        <v>0</v>
      </c>
      <c r="L851" s="109">
        <f>'budget &amp; Treasury'!L77</f>
        <v>0</v>
      </c>
    </row>
    <row r="852" spans="1:12" x14ac:dyDescent="0.2">
      <c r="A852" s="5" t="s">
        <v>761</v>
      </c>
      <c r="B852" s="7" t="s">
        <v>762</v>
      </c>
      <c r="C852" s="29">
        <v>0</v>
      </c>
      <c r="D852" s="11">
        <v>9731.64</v>
      </c>
      <c r="E852" s="9">
        <v>0</v>
      </c>
      <c r="F852" s="11">
        <v>30338.59</v>
      </c>
      <c r="G852" s="9">
        <f t="shared" si="343"/>
        <v>-30338.59</v>
      </c>
      <c r="H852" s="11">
        <v>0</v>
      </c>
      <c r="I852" s="240">
        <f>'budget &amp; Treasury'!I78</f>
        <v>40000</v>
      </c>
      <c r="J852" s="109">
        <f>'budget &amp; Treasury'!J78</f>
        <v>40000</v>
      </c>
      <c r="K852" s="229">
        <f>'budget &amp; Treasury'!K78</f>
        <v>0</v>
      </c>
      <c r="L852" s="109">
        <f>'budget &amp; Treasury'!L78</f>
        <v>0</v>
      </c>
    </row>
    <row r="853" spans="1:12" x14ac:dyDescent="0.2">
      <c r="A853" s="5"/>
      <c r="B853" s="7"/>
      <c r="C853" s="29"/>
      <c r="D853" s="11"/>
      <c r="E853" s="9"/>
      <c r="F853" s="11"/>
      <c r="G853" s="9"/>
      <c r="H853" s="11"/>
      <c r="I853" s="240"/>
      <c r="J853" s="162">
        <f t="shared" ref="J853" si="344">C853+I853</f>
        <v>0</v>
      </c>
      <c r="K853" s="169"/>
      <c r="L853" s="162"/>
    </row>
    <row r="854" spans="1:12" s="3" customFormat="1" ht="15" x14ac:dyDescent="0.25">
      <c r="A854" s="18"/>
      <c r="B854" s="19" t="s">
        <v>334</v>
      </c>
      <c r="C854" s="28">
        <f>SUM(C850:C853)</f>
        <v>0</v>
      </c>
      <c r="D854" s="36">
        <f t="shared" ref="D854:G854" si="345">SUM(D850:D853)</f>
        <v>36314.949999999997</v>
      </c>
      <c r="E854" s="28">
        <f t="shared" si="345"/>
        <v>0</v>
      </c>
      <c r="F854" s="36">
        <f t="shared" si="345"/>
        <v>218607.15</v>
      </c>
      <c r="G854" s="28">
        <f t="shared" si="345"/>
        <v>-218607.15</v>
      </c>
      <c r="H854" s="21">
        <v>0</v>
      </c>
      <c r="I854" s="243">
        <f t="shared" ref="I854" si="346">SUM(I850:I853)</f>
        <v>250000</v>
      </c>
      <c r="J854" s="172">
        <f t="shared" ref="J854" si="347">SUM(J850:J853)</f>
        <v>250000</v>
      </c>
      <c r="K854" s="236">
        <f t="shared" ref="K854" si="348">SUM(K850:K853)</f>
        <v>0</v>
      </c>
      <c r="L854" s="172">
        <f t="shared" ref="L854" si="349">SUM(L850:L853)</f>
        <v>0</v>
      </c>
    </row>
    <row r="855" spans="1:12" s="3" customFormat="1" ht="15" x14ac:dyDescent="0.25">
      <c r="A855" s="18"/>
      <c r="B855" s="19"/>
      <c r="C855" s="28"/>
      <c r="D855" s="21"/>
      <c r="E855" s="20"/>
      <c r="F855" s="21"/>
      <c r="G855" s="20"/>
      <c r="H855" s="21"/>
      <c r="I855" s="238"/>
      <c r="J855" s="168"/>
      <c r="K855" s="178"/>
      <c r="L855" s="168"/>
    </row>
    <row r="856" spans="1:12" s="3" customFormat="1" ht="15" x14ac:dyDescent="0.25">
      <c r="A856" s="18"/>
      <c r="B856" s="19" t="s">
        <v>120</v>
      </c>
      <c r="C856" s="28"/>
      <c r="D856" s="21"/>
      <c r="E856" s="20"/>
      <c r="F856" s="21"/>
      <c r="G856" s="20"/>
      <c r="H856" s="21"/>
      <c r="I856" s="238"/>
      <c r="J856" s="168"/>
      <c r="K856" s="178"/>
      <c r="L856" s="168"/>
    </row>
    <row r="857" spans="1:12" s="3" customFormat="1" ht="15" x14ac:dyDescent="0.25">
      <c r="A857" s="18"/>
      <c r="B857" s="19"/>
      <c r="C857" s="28"/>
      <c r="D857" s="21"/>
      <c r="E857" s="20"/>
      <c r="F857" s="21"/>
      <c r="G857" s="20"/>
      <c r="H857" s="21"/>
      <c r="I857" s="238"/>
      <c r="J857" s="168"/>
      <c r="K857" s="178"/>
      <c r="L857" s="168"/>
    </row>
    <row r="858" spans="1:12" s="323" customFormat="1" x14ac:dyDescent="0.2">
      <c r="A858" s="319" t="s">
        <v>763</v>
      </c>
      <c r="B858" s="320" t="s">
        <v>336</v>
      </c>
      <c r="C858" s="321">
        <f>'budget &amp; Treasury'!C84</f>
        <v>4232000</v>
      </c>
      <c r="D858" s="324">
        <f>'budget &amp; Treasury'!D84</f>
        <v>807154</v>
      </c>
      <c r="E858" s="321">
        <f>'budget &amp; Treasury'!E84</f>
        <v>0</v>
      </c>
      <c r="F858" s="324">
        <f>'budget &amp; Treasury'!F84</f>
        <v>4564783</v>
      </c>
      <c r="G858" s="321">
        <f>'budget &amp; Treasury'!G84</f>
        <v>-332783</v>
      </c>
      <c r="H858" s="322">
        <f>F858/C858*100</f>
        <v>107.86349243856333</v>
      </c>
      <c r="I858" s="240">
        <f>'budget &amp; Treasury'!I84</f>
        <v>3768000</v>
      </c>
      <c r="J858" s="109">
        <f>'budget &amp; Treasury'!J84</f>
        <v>8000000</v>
      </c>
      <c r="K858" s="229">
        <f>'budget &amp; Treasury'!K84</f>
        <v>8480000</v>
      </c>
      <c r="L858" s="109">
        <f>'budget &amp; Treasury'!L84</f>
        <v>8988800</v>
      </c>
    </row>
    <row r="859" spans="1:12" x14ac:dyDescent="0.2">
      <c r="A859" s="5"/>
      <c r="B859" s="7"/>
      <c r="C859" s="29"/>
      <c r="D859" s="11"/>
      <c r="E859" s="9"/>
      <c r="F859" s="11"/>
      <c r="G859" s="9"/>
      <c r="H859" s="11"/>
      <c r="I859" s="240"/>
      <c r="J859" s="162"/>
      <c r="K859" s="169"/>
      <c r="L859" s="162"/>
    </row>
    <row r="860" spans="1:12" s="3" customFormat="1" ht="15" x14ac:dyDescent="0.25">
      <c r="A860" s="18"/>
      <c r="B860" s="19" t="s">
        <v>337</v>
      </c>
      <c r="C860" s="28">
        <f>SUM(C858:C859)</f>
        <v>4232000</v>
      </c>
      <c r="D860" s="36">
        <f t="shared" ref="D860:G860" si="350">SUM(D858:D859)</f>
        <v>807154</v>
      </c>
      <c r="E860" s="28">
        <f t="shared" si="350"/>
        <v>0</v>
      </c>
      <c r="F860" s="36">
        <f t="shared" si="350"/>
        <v>4564783</v>
      </c>
      <c r="G860" s="28">
        <f t="shared" si="350"/>
        <v>-332783</v>
      </c>
      <c r="H860" s="21">
        <v>0</v>
      </c>
      <c r="I860" s="243">
        <f t="shared" ref="I860" si="351">SUM(I858:I859)</f>
        <v>3768000</v>
      </c>
      <c r="J860" s="172">
        <f t="shared" ref="J860" si="352">SUM(J858:J859)</f>
        <v>8000000</v>
      </c>
      <c r="K860" s="236">
        <f t="shared" ref="K860" si="353">SUM(K858:K859)</f>
        <v>8480000</v>
      </c>
      <c r="L860" s="172">
        <f t="shared" ref="L860" si="354">SUM(L858:L859)</f>
        <v>8988800</v>
      </c>
    </row>
    <row r="861" spans="1:12" s="3" customFormat="1" ht="15" x14ac:dyDescent="0.25">
      <c r="A861" s="18"/>
      <c r="B861" s="19"/>
      <c r="C861" s="28"/>
      <c r="D861" s="21"/>
      <c r="E861" s="20"/>
      <c r="F861" s="21"/>
      <c r="G861" s="20"/>
      <c r="H861" s="21"/>
      <c r="I861" s="238"/>
      <c r="J861" s="168"/>
      <c r="K861" s="178"/>
      <c r="L861" s="168"/>
    </row>
    <row r="862" spans="1:12" s="3" customFormat="1" ht="15" x14ac:dyDescent="0.25">
      <c r="A862" s="18"/>
      <c r="B862" s="19" t="s">
        <v>338</v>
      </c>
      <c r="C862" s="28">
        <f>C812+C846+C854+C860</f>
        <v>35678565</v>
      </c>
      <c r="D862" s="36">
        <f>D812+D846+D854+D860</f>
        <v>3089433.3000000003</v>
      </c>
      <c r="E862" s="28">
        <f>E812+E846+E854+E860</f>
        <v>32575.439999999999</v>
      </c>
      <c r="F862" s="36">
        <f>F812+F846+F854+F860</f>
        <v>17416341.689999998</v>
      </c>
      <c r="G862" s="28">
        <f>G812+G846+G854+G860</f>
        <v>18229647.870000005</v>
      </c>
      <c r="H862" s="21">
        <v>36.020000000000003</v>
      </c>
      <c r="I862" s="243">
        <f>I812+I846+I854+I860</f>
        <v>7040109.7999999998</v>
      </c>
      <c r="J862" s="172">
        <f>J812+J846+J854+J860</f>
        <v>42718674.799999997</v>
      </c>
      <c r="K862" s="236">
        <f>K812+K846+K854+K860</f>
        <v>43661317.988000005</v>
      </c>
      <c r="L862" s="172">
        <f>L812+L846+L854+L860</f>
        <v>45166997.067280002</v>
      </c>
    </row>
    <row r="863" spans="1:12" s="3" customFormat="1" ht="15" x14ac:dyDescent="0.25">
      <c r="A863" s="18"/>
      <c r="B863" s="19"/>
      <c r="C863" s="28"/>
      <c r="D863" s="21"/>
      <c r="E863" s="20"/>
      <c r="F863" s="21"/>
      <c r="G863" s="20"/>
      <c r="H863" s="21"/>
      <c r="I863" s="238"/>
      <c r="J863" s="168"/>
      <c r="K863" s="178"/>
      <c r="L863" s="168"/>
    </row>
    <row r="864" spans="1:12" s="3" customFormat="1" ht="15" x14ac:dyDescent="0.25">
      <c r="A864" s="18"/>
      <c r="B864" s="19" t="s">
        <v>339</v>
      </c>
      <c r="C864" s="28">
        <f>C862</f>
        <v>35678565</v>
      </c>
      <c r="D864" s="36">
        <f t="shared" ref="D864:G864" si="355">D862</f>
        <v>3089433.3000000003</v>
      </c>
      <c r="E864" s="28">
        <f t="shared" si="355"/>
        <v>32575.439999999999</v>
      </c>
      <c r="F864" s="36">
        <f t="shared" si="355"/>
        <v>17416341.689999998</v>
      </c>
      <c r="G864" s="28">
        <f t="shared" si="355"/>
        <v>18229647.870000005</v>
      </c>
      <c r="H864" s="21">
        <v>36.020000000000003</v>
      </c>
      <c r="I864" s="243">
        <f t="shared" ref="I864:L864" si="356">I862</f>
        <v>7040109.7999999998</v>
      </c>
      <c r="J864" s="172">
        <f t="shared" si="356"/>
        <v>42718674.799999997</v>
      </c>
      <c r="K864" s="236">
        <f t="shared" si="356"/>
        <v>43661317.988000005</v>
      </c>
      <c r="L864" s="172">
        <f t="shared" si="356"/>
        <v>45166997.067280002</v>
      </c>
    </row>
    <row r="865" spans="1:12" s="3" customFormat="1" ht="15" x14ac:dyDescent="0.25">
      <c r="A865" s="18"/>
      <c r="B865" s="19"/>
      <c r="C865" s="28"/>
      <c r="D865" s="21"/>
      <c r="E865" s="20"/>
      <c r="F865" s="21"/>
      <c r="G865" s="20"/>
      <c r="H865" s="21"/>
      <c r="I865" s="238"/>
      <c r="J865" s="168"/>
      <c r="K865" s="178"/>
      <c r="L865" s="168"/>
    </row>
    <row r="866" spans="1:12" s="3" customFormat="1" ht="15" x14ac:dyDescent="0.25">
      <c r="A866" s="18"/>
      <c r="B866" s="19" t="s">
        <v>340</v>
      </c>
      <c r="C866" s="28"/>
      <c r="D866" s="21"/>
      <c r="E866" s="20"/>
      <c r="F866" s="21"/>
      <c r="G866" s="20"/>
      <c r="H866" s="21"/>
      <c r="I866" s="238"/>
      <c r="J866" s="168"/>
      <c r="K866" s="178"/>
      <c r="L866" s="168"/>
    </row>
    <row r="867" spans="1:12" s="3" customFormat="1" ht="15" x14ac:dyDescent="0.25">
      <c r="A867" s="18"/>
      <c r="B867" s="19"/>
      <c r="C867" s="28"/>
      <c r="D867" s="21"/>
      <c r="E867" s="20"/>
      <c r="F867" s="21"/>
      <c r="G867" s="20"/>
      <c r="H867" s="21"/>
      <c r="I867" s="238"/>
      <c r="J867" s="168"/>
      <c r="K867" s="178"/>
      <c r="L867" s="168"/>
    </row>
    <row r="868" spans="1:12" s="3" customFormat="1" ht="15" x14ac:dyDescent="0.25">
      <c r="A868" s="18"/>
      <c r="B868" s="19" t="s">
        <v>341</v>
      </c>
      <c r="C868" s="28"/>
      <c r="D868" s="21"/>
      <c r="E868" s="20"/>
      <c r="F868" s="21"/>
      <c r="G868" s="20"/>
      <c r="H868" s="21"/>
      <c r="I868" s="238"/>
      <c r="J868" s="168"/>
      <c r="K868" s="178"/>
      <c r="L868" s="168"/>
    </row>
    <row r="869" spans="1:12" s="3" customFormat="1" ht="15" x14ac:dyDescent="0.25">
      <c r="A869" s="18"/>
      <c r="B869" s="19"/>
      <c r="C869" s="28"/>
      <c r="D869" s="21"/>
      <c r="E869" s="20"/>
      <c r="F869" s="21"/>
      <c r="G869" s="20"/>
      <c r="H869" s="21"/>
      <c r="I869" s="238"/>
      <c r="J869" s="168"/>
      <c r="K869" s="178"/>
      <c r="L869" s="168"/>
    </row>
    <row r="870" spans="1:12" x14ac:dyDescent="0.2">
      <c r="A870" s="5" t="s">
        <v>764</v>
      </c>
      <c r="B870" s="7" t="s">
        <v>707</v>
      </c>
      <c r="C870" s="29">
        <v>-10866049</v>
      </c>
      <c r="D870" s="11">
        <v>-901583.08</v>
      </c>
      <c r="E870" s="9">
        <v>0</v>
      </c>
      <c r="F870" s="11">
        <v>-5409498.4800000004</v>
      </c>
      <c r="G870" s="9">
        <v>-5456550.5199999996</v>
      </c>
      <c r="H870" s="11">
        <v>49.78</v>
      </c>
      <c r="I870" s="240">
        <f>'budget &amp; Treasury'!I96</f>
        <v>0</v>
      </c>
      <c r="J870" s="109">
        <f>'budget &amp; Treasury'!J96</f>
        <v>-10866049</v>
      </c>
      <c r="K870" s="229">
        <f>'budget &amp; Treasury'!K96</f>
        <v>-11518011.939999999</v>
      </c>
      <c r="L870" s="109">
        <f>'budget &amp; Treasury'!L96</f>
        <v>-12209092.656399999</v>
      </c>
    </row>
    <row r="871" spans="1:12" x14ac:dyDescent="0.2">
      <c r="A871" s="5"/>
      <c r="B871" s="7"/>
      <c r="C871" s="29"/>
      <c r="D871" s="11"/>
      <c r="E871" s="9"/>
      <c r="F871" s="11"/>
      <c r="G871" s="9"/>
      <c r="H871" s="11"/>
      <c r="I871" s="240"/>
      <c r="J871" s="162"/>
      <c r="K871" s="169"/>
      <c r="L871" s="162"/>
    </row>
    <row r="872" spans="1:12" s="3" customFormat="1" ht="15" x14ac:dyDescent="0.25">
      <c r="A872" s="18"/>
      <c r="B872" s="19" t="s">
        <v>344</v>
      </c>
      <c r="C872" s="28">
        <f>SUM(C870:C871)</f>
        <v>-10866049</v>
      </c>
      <c r="D872" s="36">
        <f t="shared" ref="D872:G872" si="357">SUM(D870:D871)</f>
        <v>-901583.08</v>
      </c>
      <c r="E872" s="28">
        <f t="shared" si="357"/>
        <v>0</v>
      </c>
      <c r="F872" s="36">
        <f t="shared" si="357"/>
        <v>-5409498.4800000004</v>
      </c>
      <c r="G872" s="28">
        <f t="shared" si="357"/>
        <v>-5456550.5199999996</v>
      </c>
      <c r="H872" s="21">
        <v>49.78</v>
      </c>
      <c r="I872" s="243">
        <f t="shared" ref="I872" si="358">SUM(I870:I871)</f>
        <v>0</v>
      </c>
      <c r="J872" s="172">
        <f t="shared" ref="J872" si="359">SUM(J870:J871)</f>
        <v>-10866049</v>
      </c>
      <c r="K872" s="236">
        <f t="shared" ref="K872" si="360">SUM(K870:K871)</f>
        <v>-11518011.939999999</v>
      </c>
      <c r="L872" s="172">
        <f t="shared" ref="L872" si="361">SUM(L870:L871)</f>
        <v>-12209092.656399999</v>
      </c>
    </row>
    <row r="873" spans="1:12" s="3" customFormat="1" ht="15" x14ac:dyDescent="0.25">
      <c r="A873" s="18"/>
      <c r="B873" s="19"/>
      <c r="C873" s="28"/>
      <c r="D873" s="21"/>
      <c r="E873" s="20"/>
      <c r="F873" s="21"/>
      <c r="G873" s="20"/>
      <c r="H873" s="21"/>
      <c r="I873" s="238"/>
      <c r="J873" s="168"/>
      <c r="K873" s="178"/>
      <c r="L873" s="168"/>
    </row>
    <row r="874" spans="1:12" s="3" customFormat="1" ht="15" x14ac:dyDescent="0.25">
      <c r="A874" s="18"/>
      <c r="B874" s="19" t="s">
        <v>353</v>
      </c>
      <c r="C874" s="28"/>
      <c r="D874" s="21"/>
      <c r="E874" s="20"/>
      <c r="F874" s="21"/>
      <c r="G874" s="20"/>
      <c r="H874" s="21"/>
      <c r="I874" s="238"/>
      <c r="J874" s="168"/>
      <c r="K874" s="178"/>
      <c r="L874" s="168"/>
    </row>
    <row r="875" spans="1:12" s="3" customFormat="1" ht="15" x14ac:dyDescent="0.25">
      <c r="A875" s="18"/>
      <c r="B875" s="19"/>
      <c r="C875" s="28"/>
      <c r="D875" s="21"/>
      <c r="E875" s="20"/>
      <c r="F875" s="21"/>
      <c r="G875" s="20"/>
      <c r="H875" s="21"/>
      <c r="I875" s="238"/>
      <c r="J875" s="168"/>
      <c r="K875" s="178"/>
      <c r="L875" s="168"/>
    </row>
    <row r="876" spans="1:12" x14ac:dyDescent="0.2">
      <c r="A876" s="5" t="s">
        <v>765</v>
      </c>
      <c r="B876" s="7" t="s">
        <v>357</v>
      </c>
      <c r="C876" s="29">
        <v>-106287000</v>
      </c>
      <c r="D876" s="11">
        <v>0</v>
      </c>
      <c r="E876" s="9">
        <v>0</v>
      </c>
      <c r="F876" s="11">
        <v>-78973000</v>
      </c>
      <c r="G876" s="9">
        <v>-27314000</v>
      </c>
      <c r="H876" s="11">
        <v>74.3</v>
      </c>
      <c r="I876" s="240">
        <f>'budget &amp; Treasury'!I102</f>
        <v>0</v>
      </c>
      <c r="J876" s="109">
        <f>'budget &amp; Treasury'!J102</f>
        <v>-106287000</v>
      </c>
      <c r="K876" s="229">
        <f>'budget &amp; Treasury'!K102</f>
        <v>-105489000</v>
      </c>
      <c r="L876" s="109">
        <f>'budget &amp; Treasury'!L102</f>
        <v>-102169000</v>
      </c>
    </row>
    <row r="877" spans="1:12" x14ac:dyDescent="0.2">
      <c r="A877" s="5" t="s">
        <v>766</v>
      </c>
      <c r="B877" s="7" t="s">
        <v>1004</v>
      </c>
      <c r="C877" s="29">
        <v>-1600000</v>
      </c>
      <c r="D877" s="11">
        <v>-268889</v>
      </c>
      <c r="E877" s="9">
        <v>0</v>
      </c>
      <c r="F877" s="11">
        <v>-413110.7</v>
      </c>
      <c r="G877" s="9">
        <v>-1186889.3</v>
      </c>
      <c r="H877" s="11">
        <v>25.81</v>
      </c>
      <c r="I877" s="240">
        <f>'budget &amp; Treasury'!I103</f>
        <v>0</v>
      </c>
      <c r="J877" s="109">
        <f>'budget &amp; Treasury'!J103</f>
        <v>-1600000</v>
      </c>
      <c r="K877" s="229">
        <f>'budget &amp; Treasury'!K103</f>
        <v>-1625000</v>
      </c>
      <c r="L877" s="109">
        <f>'budget &amp; Treasury'!L103</f>
        <v>-1700000</v>
      </c>
    </row>
    <row r="878" spans="1:12" x14ac:dyDescent="0.2">
      <c r="A878" s="5" t="s">
        <v>767</v>
      </c>
      <c r="B878" s="7" t="s">
        <v>1005</v>
      </c>
      <c r="C878" s="29">
        <v>-930000</v>
      </c>
      <c r="D878" s="11">
        <v>-434200</v>
      </c>
      <c r="E878" s="9">
        <v>0</v>
      </c>
      <c r="F878" s="11">
        <v>-481400</v>
      </c>
      <c r="G878" s="9">
        <v>-448600</v>
      </c>
      <c r="H878" s="11">
        <v>51.76</v>
      </c>
      <c r="I878" s="240">
        <f>'budget &amp; Treasury'!I104</f>
        <v>0</v>
      </c>
      <c r="J878" s="109">
        <f>'budget &amp; Treasury'!J104</f>
        <v>-930000</v>
      </c>
      <c r="K878" s="229">
        <f>'budget &amp; Treasury'!K104</f>
        <v>-957000</v>
      </c>
      <c r="L878" s="109">
        <f>'budget &amp; Treasury'!L104</f>
        <v>-1033000</v>
      </c>
    </row>
    <row r="879" spans="1:12" x14ac:dyDescent="0.2">
      <c r="A879" s="5"/>
      <c r="B879" s="7"/>
      <c r="C879" s="29"/>
      <c r="D879" s="11"/>
      <c r="E879" s="9"/>
      <c r="F879" s="11"/>
      <c r="G879" s="9"/>
      <c r="H879" s="11"/>
      <c r="I879" s="240"/>
      <c r="J879" s="162"/>
      <c r="K879" s="169"/>
      <c r="L879" s="162"/>
    </row>
    <row r="880" spans="1:12" s="3" customFormat="1" ht="15" x14ac:dyDescent="0.25">
      <c r="A880" s="18"/>
      <c r="B880" s="19" t="s">
        <v>360</v>
      </c>
      <c r="C880" s="28">
        <f>SUM(C876:C879)</f>
        <v>-108817000</v>
      </c>
      <c r="D880" s="36">
        <f t="shared" ref="D880:G880" si="362">SUM(D876:D879)</f>
        <v>-703089</v>
      </c>
      <c r="E880" s="28">
        <f t="shared" si="362"/>
        <v>0</v>
      </c>
      <c r="F880" s="36">
        <f t="shared" si="362"/>
        <v>-79867510.700000003</v>
      </c>
      <c r="G880" s="28">
        <f t="shared" si="362"/>
        <v>-28949489.300000001</v>
      </c>
      <c r="H880" s="21">
        <v>73.39</v>
      </c>
      <c r="I880" s="243">
        <f t="shared" ref="I880" si="363">SUM(I876:I879)</f>
        <v>0</v>
      </c>
      <c r="J880" s="172">
        <f t="shared" ref="J880" si="364">SUM(J876:J879)</f>
        <v>-108817000</v>
      </c>
      <c r="K880" s="236">
        <f t="shared" ref="K880" si="365">SUM(K876:K879)</f>
        <v>-108071000</v>
      </c>
      <c r="L880" s="172">
        <f t="shared" ref="L880" si="366">SUM(L876:L879)</f>
        <v>-104902000</v>
      </c>
    </row>
    <row r="881" spans="1:12" s="3" customFormat="1" ht="15" x14ac:dyDescent="0.25">
      <c r="A881" s="18"/>
      <c r="B881" s="19"/>
      <c r="C881" s="28"/>
      <c r="D881" s="21"/>
      <c r="E881" s="20"/>
      <c r="F881" s="21"/>
      <c r="G881" s="20"/>
      <c r="H881" s="21"/>
      <c r="I881" s="238"/>
      <c r="J881" s="168"/>
      <c r="K881" s="178"/>
      <c r="L881" s="168"/>
    </row>
    <row r="882" spans="1:12" s="3" customFormat="1" ht="15" x14ac:dyDescent="0.25">
      <c r="A882" s="18"/>
      <c r="B882" s="19" t="s">
        <v>369</v>
      </c>
      <c r="C882" s="28"/>
      <c r="D882" s="21"/>
      <c r="E882" s="20"/>
      <c r="F882" s="21"/>
      <c r="G882" s="20"/>
      <c r="H882" s="21"/>
      <c r="I882" s="238"/>
      <c r="J882" s="168"/>
      <c r="K882" s="178"/>
      <c r="L882" s="168"/>
    </row>
    <row r="883" spans="1:12" s="3" customFormat="1" ht="15" x14ac:dyDescent="0.25">
      <c r="A883" s="18"/>
      <c r="B883" s="19"/>
      <c r="C883" s="28"/>
      <c r="D883" s="21"/>
      <c r="E883" s="20"/>
      <c r="F883" s="21"/>
      <c r="G883" s="20"/>
      <c r="H883" s="21"/>
      <c r="I883" s="238"/>
      <c r="J883" s="168"/>
      <c r="K883" s="178"/>
      <c r="L883" s="168"/>
    </row>
    <row r="884" spans="1:12" x14ac:dyDescent="0.2">
      <c r="A884" s="5" t="s">
        <v>768</v>
      </c>
      <c r="B884" s="7" t="s">
        <v>371</v>
      </c>
      <c r="C884" s="29">
        <v>-1200000</v>
      </c>
      <c r="D884" s="11">
        <v>-331148.62</v>
      </c>
      <c r="E884" s="9">
        <v>0</v>
      </c>
      <c r="F884" s="11">
        <v>-977508.48</v>
      </c>
      <c r="G884" s="9">
        <v>-222491.51999999999</v>
      </c>
      <c r="H884" s="11">
        <v>81.45</v>
      </c>
      <c r="I884" s="240">
        <f>'budget &amp; Treasury'!I110</f>
        <v>-1000000</v>
      </c>
      <c r="J884" s="109">
        <f>'budget &amp; Treasury'!J110</f>
        <v>-2200000</v>
      </c>
      <c r="K884" s="229">
        <f>'budget &amp; Treasury'!K110</f>
        <v>-2332000</v>
      </c>
      <c r="L884" s="109">
        <f>'budget &amp; Treasury'!L110</f>
        <v>-2471920</v>
      </c>
    </row>
    <row r="885" spans="1:12" x14ac:dyDescent="0.2">
      <c r="A885" s="5"/>
      <c r="B885" s="7"/>
      <c r="C885" s="29"/>
      <c r="D885" s="11"/>
      <c r="E885" s="9"/>
      <c r="F885" s="11"/>
      <c r="G885" s="9"/>
      <c r="H885" s="11"/>
      <c r="I885" s="240"/>
      <c r="J885" s="162"/>
      <c r="K885" s="169"/>
      <c r="L885" s="162"/>
    </row>
    <row r="886" spans="1:12" s="3" customFormat="1" ht="15" x14ac:dyDescent="0.25">
      <c r="A886" s="18"/>
      <c r="B886" s="19" t="s">
        <v>1006</v>
      </c>
      <c r="C886" s="28">
        <f>SUM(C884:C885)</f>
        <v>-1200000</v>
      </c>
      <c r="D886" s="36">
        <f t="shared" ref="D886:G886" si="367">SUM(D884:D885)</f>
        <v>-331148.62</v>
      </c>
      <c r="E886" s="28">
        <f t="shared" si="367"/>
        <v>0</v>
      </c>
      <c r="F886" s="36">
        <f t="shared" si="367"/>
        <v>-977508.48</v>
      </c>
      <c r="G886" s="28">
        <f t="shared" si="367"/>
        <v>-222491.51999999999</v>
      </c>
      <c r="H886" s="21">
        <v>81.45</v>
      </c>
      <c r="I886" s="243">
        <f t="shared" ref="I886" si="368">SUM(I884:I885)</f>
        <v>-1000000</v>
      </c>
      <c r="J886" s="172">
        <f t="shared" ref="J886" si="369">SUM(J884:J885)</f>
        <v>-2200000</v>
      </c>
      <c r="K886" s="236">
        <f t="shared" ref="K886" si="370">SUM(K884:K885)</f>
        <v>-2332000</v>
      </c>
      <c r="L886" s="172">
        <f t="shared" ref="L886" si="371">SUM(L884:L885)</f>
        <v>-2471920</v>
      </c>
    </row>
    <row r="887" spans="1:12" s="3" customFormat="1" ht="15" x14ac:dyDescent="0.25">
      <c r="A887" s="18"/>
      <c r="B887" s="19"/>
      <c r="C887" s="28"/>
      <c r="D887" s="36"/>
      <c r="E887" s="28"/>
      <c r="F887" s="36"/>
      <c r="G887" s="28"/>
      <c r="H887" s="21"/>
      <c r="I887" s="243"/>
      <c r="J887" s="172"/>
      <c r="K887" s="236"/>
      <c r="L887" s="172"/>
    </row>
    <row r="888" spans="1:12" s="3" customFormat="1" ht="15" x14ac:dyDescent="0.25">
      <c r="A888" s="18"/>
      <c r="B888" s="19" t="s">
        <v>372</v>
      </c>
      <c r="C888" s="28"/>
      <c r="D888" s="21"/>
      <c r="E888" s="20"/>
      <c r="F888" s="21"/>
      <c r="G888" s="20"/>
      <c r="H888" s="21"/>
      <c r="I888" s="238"/>
      <c r="J888" s="168"/>
      <c r="K888" s="178"/>
      <c r="L888" s="168"/>
    </row>
    <row r="889" spans="1:12" s="3" customFormat="1" ht="15" x14ac:dyDescent="0.25">
      <c r="A889" s="18"/>
      <c r="B889" s="19"/>
      <c r="C889" s="28"/>
      <c r="D889" s="21"/>
      <c r="E889" s="20"/>
      <c r="F889" s="21"/>
      <c r="G889" s="20"/>
      <c r="H889" s="21"/>
      <c r="I889" s="238"/>
      <c r="J889" s="168"/>
      <c r="K889" s="178"/>
      <c r="L889" s="168"/>
    </row>
    <row r="890" spans="1:12" x14ac:dyDescent="0.2">
      <c r="A890" s="5" t="s">
        <v>769</v>
      </c>
      <c r="B890" s="7" t="s">
        <v>573</v>
      </c>
      <c r="C890" s="29">
        <v>-4569726</v>
      </c>
      <c r="D890" s="11">
        <v>-264720.45</v>
      </c>
      <c r="E890" s="9">
        <v>0</v>
      </c>
      <c r="F890" s="11">
        <v>-1534007.22</v>
      </c>
      <c r="G890" s="9">
        <v>-3035718.78</v>
      </c>
      <c r="H890" s="11">
        <v>33.56</v>
      </c>
      <c r="I890" s="240">
        <f>'budget &amp; Treasury'!I116</f>
        <v>0</v>
      </c>
      <c r="J890" s="109">
        <f>'budget &amp; Treasury'!J116</f>
        <v>-4569726</v>
      </c>
      <c r="K890" s="229">
        <f>'budget &amp; Treasury'!K116</f>
        <v>-4843909.5599999996</v>
      </c>
      <c r="L890" s="109">
        <f>'budget &amp; Treasury'!L116</f>
        <v>-5134544.1335999994</v>
      </c>
    </row>
    <row r="891" spans="1:12" x14ac:dyDescent="0.2">
      <c r="A891" s="5"/>
      <c r="B891" s="7"/>
      <c r="C891" s="29"/>
      <c r="D891" s="11"/>
      <c r="E891" s="9"/>
      <c r="F891" s="11"/>
      <c r="G891" s="9"/>
      <c r="H891" s="11"/>
      <c r="I891" s="240"/>
      <c r="J891" s="162"/>
      <c r="K891" s="169"/>
      <c r="L891" s="162"/>
    </row>
    <row r="892" spans="1:12" s="3" customFormat="1" ht="15" x14ac:dyDescent="0.25">
      <c r="A892" s="18"/>
      <c r="B892" s="19" t="s">
        <v>1007</v>
      </c>
      <c r="C892" s="28">
        <f>SUM(C890:C891)</f>
        <v>-4569726</v>
      </c>
      <c r="D892" s="36">
        <f t="shared" ref="D892:G892" si="372">SUM(D890:D891)</f>
        <v>-264720.45</v>
      </c>
      <c r="E892" s="28">
        <f t="shared" si="372"/>
        <v>0</v>
      </c>
      <c r="F892" s="36">
        <f t="shared" si="372"/>
        <v>-1534007.22</v>
      </c>
      <c r="G892" s="28">
        <f t="shared" si="372"/>
        <v>-3035718.78</v>
      </c>
      <c r="H892" s="21">
        <v>33.56</v>
      </c>
      <c r="I892" s="243">
        <f t="shared" ref="I892:L892" si="373">SUM(I890:I891)</f>
        <v>0</v>
      </c>
      <c r="J892" s="172">
        <f t="shared" si="373"/>
        <v>-4569726</v>
      </c>
      <c r="K892" s="236">
        <f t="shared" si="373"/>
        <v>-4843909.5599999996</v>
      </c>
      <c r="L892" s="172">
        <f t="shared" si="373"/>
        <v>-5134544.1335999994</v>
      </c>
    </row>
    <row r="893" spans="1:12" s="3" customFormat="1" ht="15" x14ac:dyDescent="0.25">
      <c r="A893" s="18"/>
      <c r="B893" s="19"/>
      <c r="C893" s="28"/>
      <c r="D893" s="21"/>
      <c r="E893" s="20"/>
      <c r="F893" s="21"/>
      <c r="G893" s="20"/>
      <c r="H893" s="21"/>
      <c r="I893" s="238"/>
      <c r="J893" s="168"/>
      <c r="K893" s="178"/>
      <c r="L893" s="168"/>
    </row>
    <row r="894" spans="1:12" s="3" customFormat="1" ht="15" x14ac:dyDescent="0.25">
      <c r="A894" s="18"/>
      <c r="B894" s="19" t="s">
        <v>381</v>
      </c>
      <c r="C894" s="28"/>
      <c r="D894" s="21"/>
      <c r="E894" s="20"/>
      <c r="F894" s="21"/>
      <c r="G894" s="20"/>
      <c r="H894" s="21"/>
      <c r="I894" s="238"/>
      <c r="J894" s="168"/>
      <c r="K894" s="178"/>
      <c r="L894" s="168"/>
    </row>
    <row r="895" spans="1:12" s="3" customFormat="1" ht="15" x14ac:dyDescent="0.25">
      <c r="A895" s="18"/>
      <c r="B895" s="19"/>
      <c r="C895" s="28"/>
      <c r="D895" s="21"/>
      <c r="E895" s="20"/>
      <c r="F895" s="21"/>
      <c r="G895" s="20"/>
      <c r="H895" s="21"/>
      <c r="I895" s="238"/>
      <c r="J895" s="168"/>
      <c r="K895" s="178"/>
      <c r="L895" s="168"/>
    </row>
    <row r="896" spans="1:12" x14ac:dyDescent="0.2">
      <c r="A896" s="5" t="s">
        <v>770</v>
      </c>
      <c r="B896" s="7" t="s">
        <v>412</v>
      </c>
      <c r="C896" s="29">
        <v>0</v>
      </c>
      <c r="D896" s="11">
        <v>0</v>
      </c>
      <c r="E896" s="9">
        <v>0</v>
      </c>
      <c r="F896" s="11">
        <v>0</v>
      </c>
      <c r="G896" s="9">
        <v>0</v>
      </c>
      <c r="H896" s="11">
        <v>0</v>
      </c>
      <c r="I896" s="240">
        <f>'budget &amp; Treasury'!I122</f>
        <v>-3354726.8</v>
      </c>
      <c r="J896" s="109">
        <f>'budget &amp; Treasury'!J122</f>
        <v>-3354726.8</v>
      </c>
      <c r="K896" s="229">
        <f>'budget &amp; Treasury'!K122</f>
        <v>-3805630.4079999998</v>
      </c>
      <c r="L896" s="109">
        <f>'budget &amp; Treasury'!L122</f>
        <v>-3327910.2324799998</v>
      </c>
    </row>
    <row r="897" spans="1:12" s="323" customFormat="1" x14ac:dyDescent="0.2">
      <c r="A897" s="319"/>
      <c r="B897" s="320" t="s">
        <v>1097</v>
      </c>
      <c r="C897" s="321"/>
      <c r="D897" s="322"/>
      <c r="E897" s="241"/>
      <c r="F897" s="322"/>
      <c r="G897" s="241"/>
      <c r="H897" s="322"/>
      <c r="I897" s="240">
        <f>'budget &amp; Treasury'!I123</f>
        <v>-10597720</v>
      </c>
      <c r="J897" s="240">
        <f>'budget &amp; Treasury'!J123</f>
        <v>-10597720</v>
      </c>
      <c r="K897" s="240">
        <f>'budget &amp; Treasury'!K123</f>
        <v>-12233583.199999999</v>
      </c>
      <c r="L897" s="240">
        <f>'budget &amp; Treasury'!L123</f>
        <v>-12967598.192</v>
      </c>
    </row>
    <row r="898" spans="1:12" x14ac:dyDescent="0.2">
      <c r="A898" s="5" t="s">
        <v>771</v>
      </c>
      <c r="B898" s="7" t="s">
        <v>414</v>
      </c>
      <c r="C898" s="29">
        <v>-246997</v>
      </c>
      <c r="D898" s="11">
        <v>0</v>
      </c>
      <c r="E898" s="9">
        <v>0</v>
      </c>
      <c r="F898" s="11">
        <v>-201829.46</v>
      </c>
      <c r="G898" s="9">
        <v>-45167.54</v>
      </c>
      <c r="H898" s="11">
        <v>81.709999999999994</v>
      </c>
      <c r="I898" s="240">
        <f>'budget &amp; Treasury'!I124</f>
        <v>-156661.92000000001</v>
      </c>
      <c r="J898" s="109">
        <f>'budget &amp; Treasury'!J124</f>
        <v>-403658.92000000004</v>
      </c>
      <c r="K898" s="229">
        <f>'budget &amp; Treasury'!K124</f>
        <v>-427878.45520000003</v>
      </c>
      <c r="L898" s="109">
        <f>'budget &amp; Treasury'!L124</f>
        <v>-453551.16251200001</v>
      </c>
    </row>
    <row r="899" spans="1:12" x14ac:dyDescent="0.2">
      <c r="A899" s="5"/>
      <c r="B899" s="7"/>
      <c r="C899" s="29"/>
      <c r="D899" s="11"/>
      <c r="E899" s="9"/>
      <c r="F899" s="11"/>
      <c r="G899" s="9"/>
      <c r="H899" s="11"/>
      <c r="I899" s="240"/>
      <c r="J899" s="162"/>
      <c r="K899" s="169"/>
      <c r="L899" s="162"/>
    </row>
    <row r="900" spans="1:12" s="3" customFormat="1" ht="15" x14ac:dyDescent="0.25">
      <c r="A900" s="18"/>
      <c r="B900" s="19" t="s">
        <v>426</v>
      </c>
      <c r="C900" s="28">
        <f>SUM(C896:C899)</f>
        <v>-246997</v>
      </c>
      <c r="D900" s="36">
        <f t="shared" ref="D900:G900" si="374">SUM(D896:D899)</f>
        <v>0</v>
      </c>
      <c r="E900" s="28">
        <f t="shared" si="374"/>
        <v>0</v>
      </c>
      <c r="F900" s="36">
        <f t="shared" si="374"/>
        <v>-201829.46</v>
      </c>
      <c r="G900" s="28">
        <f t="shared" si="374"/>
        <v>-45167.54</v>
      </c>
      <c r="H900" s="21">
        <v>81.709999999999994</v>
      </c>
      <c r="I900" s="243">
        <f t="shared" ref="I900" si="375">SUM(I896:I899)</f>
        <v>-14109108.720000001</v>
      </c>
      <c r="J900" s="172">
        <f t="shared" ref="J900" si="376">SUM(J896:J899)</f>
        <v>-14356105.720000001</v>
      </c>
      <c r="K900" s="236">
        <f t="shared" ref="K900" si="377">SUM(K896:K899)</f>
        <v>-16467092.063199999</v>
      </c>
      <c r="L900" s="172">
        <f t="shared" ref="L900" si="378">SUM(L896:L899)</f>
        <v>-16749059.586991999</v>
      </c>
    </row>
    <row r="901" spans="1:12" s="3" customFormat="1" ht="15" x14ac:dyDescent="0.25">
      <c r="A901" s="18"/>
      <c r="B901" s="19"/>
      <c r="C901" s="28"/>
      <c r="D901" s="21"/>
      <c r="E901" s="20"/>
      <c r="F901" s="21"/>
      <c r="G901" s="20"/>
      <c r="H901" s="21"/>
      <c r="I901" s="238"/>
      <c r="J901" s="168"/>
      <c r="K901" s="178"/>
      <c r="L901" s="168"/>
    </row>
    <row r="902" spans="1:12" s="3" customFormat="1" ht="15" x14ac:dyDescent="0.25">
      <c r="A902" s="18"/>
      <c r="B902" s="19" t="s">
        <v>427</v>
      </c>
      <c r="C902" s="28">
        <f>C872+C880+C886+C892+C900</f>
        <v>-125699772</v>
      </c>
      <c r="D902" s="36">
        <f t="shared" ref="D902:G902" si="379">D872+D880+D886+D892+D900</f>
        <v>-2200541.1500000004</v>
      </c>
      <c r="E902" s="28">
        <f t="shared" si="379"/>
        <v>0</v>
      </c>
      <c r="F902" s="36">
        <f t="shared" si="379"/>
        <v>-87990354.340000004</v>
      </c>
      <c r="G902" s="28">
        <f t="shared" si="379"/>
        <v>-37709417.660000004</v>
      </c>
      <c r="H902" s="21">
        <v>70</v>
      </c>
      <c r="I902" s="243">
        <f t="shared" ref="I902:L902" si="380">I872+I880+I886+I892+I900</f>
        <v>-15109108.720000001</v>
      </c>
      <c r="J902" s="172">
        <f t="shared" si="380"/>
        <v>-140808880.72</v>
      </c>
      <c r="K902" s="236">
        <f t="shared" si="380"/>
        <v>-143232013.5632</v>
      </c>
      <c r="L902" s="172">
        <f t="shared" si="380"/>
        <v>-141466616.37699199</v>
      </c>
    </row>
    <row r="903" spans="1:12" s="3" customFormat="1" ht="15" x14ac:dyDescent="0.25">
      <c r="A903" s="18"/>
      <c r="B903" s="19"/>
      <c r="C903" s="28"/>
      <c r="D903" s="21"/>
      <c r="E903" s="20"/>
      <c r="F903" s="21"/>
      <c r="G903" s="20"/>
      <c r="H903" s="21"/>
      <c r="I903" s="238"/>
      <c r="J903" s="168"/>
      <c r="K903" s="178"/>
      <c r="L903" s="168"/>
    </row>
    <row r="904" spans="1:12" s="3" customFormat="1" ht="15" x14ac:dyDescent="0.25">
      <c r="A904" s="18"/>
      <c r="B904" s="19" t="s">
        <v>428</v>
      </c>
      <c r="C904" s="28">
        <f>C902</f>
        <v>-125699772</v>
      </c>
      <c r="D904" s="36">
        <f t="shared" ref="D904:G904" si="381">D902</f>
        <v>-2200541.1500000004</v>
      </c>
      <c r="E904" s="28">
        <f t="shared" si="381"/>
        <v>0</v>
      </c>
      <c r="F904" s="36">
        <f t="shared" si="381"/>
        <v>-87990354.340000004</v>
      </c>
      <c r="G904" s="28">
        <f t="shared" si="381"/>
        <v>-37709417.660000004</v>
      </c>
      <c r="H904" s="21">
        <v>70</v>
      </c>
      <c r="I904" s="243">
        <f t="shared" ref="I904:L904" si="382">I902</f>
        <v>-15109108.720000001</v>
      </c>
      <c r="J904" s="172">
        <f t="shared" si="382"/>
        <v>-140808880.72</v>
      </c>
      <c r="K904" s="236">
        <f t="shared" si="382"/>
        <v>-143232013.5632</v>
      </c>
      <c r="L904" s="172">
        <f t="shared" si="382"/>
        <v>-141466616.37699199</v>
      </c>
    </row>
    <row r="905" spans="1:12" s="3" customFormat="1" ht="15" x14ac:dyDescent="0.25">
      <c r="A905" s="18"/>
      <c r="B905" s="19"/>
      <c r="C905" s="28"/>
      <c r="D905" s="21"/>
      <c r="E905" s="20"/>
      <c r="F905" s="21"/>
      <c r="G905" s="20"/>
      <c r="H905" s="21"/>
      <c r="I905" s="238"/>
      <c r="J905" s="168"/>
      <c r="K905" s="178"/>
      <c r="L905" s="168"/>
    </row>
    <row r="906" spans="1:12" s="3" customFormat="1" ht="15" x14ac:dyDescent="0.25">
      <c r="A906" s="18"/>
      <c r="B906" s="19" t="s">
        <v>429</v>
      </c>
      <c r="C906" s="28">
        <f>C904</f>
        <v>-125699772</v>
      </c>
      <c r="D906" s="36">
        <f t="shared" ref="D906:G906" si="383">D904</f>
        <v>-2200541.1500000004</v>
      </c>
      <c r="E906" s="28">
        <f t="shared" si="383"/>
        <v>0</v>
      </c>
      <c r="F906" s="36">
        <f t="shared" si="383"/>
        <v>-87990354.340000004</v>
      </c>
      <c r="G906" s="28">
        <f t="shared" si="383"/>
        <v>-37709417.660000004</v>
      </c>
      <c r="H906" s="21">
        <v>70</v>
      </c>
      <c r="I906" s="243">
        <f t="shared" ref="I906:L906" si="384">I904</f>
        <v>-15109108.720000001</v>
      </c>
      <c r="J906" s="172">
        <f t="shared" si="384"/>
        <v>-140808880.72</v>
      </c>
      <c r="K906" s="236">
        <f t="shared" si="384"/>
        <v>-143232013.5632</v>
      </c>
      <c r="L906" s="172">
        <f t="shared" si="384"/>
        <v>-141466616.37699199</v>
      </c>
    </row>
    <row r="907" spans="1:12" x14ac:dyDescent="0.2">
      <c r="A907" s="5"/>
      <c r="B907" s="7"/>
      <c r="C907" s="29"/>
      <c r="D907" s="11"/>
      <c r="E907" s="9"/>
      <c r="F907" s="11"/>
      <c r="G907" s="9"/>
      <c r="H907" s="11"/>
      <c r="I907" s="240"/>
      <c r="J907" s="162"/>
      <c r="K907" s="169"/>
      <c r="L907" s="162"/>
    </row>
    <row r="908" spans="1:12" s="3" customFormat="1" ht="15" x14ac:dyDescent="0.25">
      <c r="A908" s="18"/>
      <c r="B908" s="19" t="s">
        <v>431</v>
      </c>
      <c r="C908" s="28"/>
      <c r="D908" s="21"/>
      <c r="E908" s="20"/>
      <c r="F908" s="21"/>
      <c r="G908" s="20"/>
      <c r="H908" s="21"/>
      <c r="I908" s="238"/>
      <c r="J908" s="168"/>
      <c r="K908" s="178"/>
      <c r="L908" s="168"/>
    </row>
    <row r="909" spans="1:12" s="3" customFormat="1" ht="15" x14ac:dyDescent="0.25">
      <c r="A909" s="18"/>
      <c r="B909" s="19"/>
      <c r="C909" s="28"/>
      <c r="D909" s="21"/>
      <c r="E909" s="20"/>
      <c r="F909" s="21"/>
      <c r="G909" s="20"/>
      <c r="H909" s="21"/>
      <c r="I909" s="238"/>
      <c r="J909" s="168"/>
      <c r="K909" s="178"/>
      <c r="L909" s="168"/>
    </row>
    <row r="910" spans="1:12" x14ac:dyDescent="0.2">
      <c r="A910" s="5" t="s">
        <v>772</v>
      </c>
      <c r="B910" s="7" t="s">
        <v>433</v>
      </c>
      <c r="C910" s="29">
        <f>C864</f>
        <v>35678565</v>
      </c>
      <c r="D910" s="37">
        <f t="shared" ref="D910:L910" si="385">D864</f>
        <v>3089433.3000000003</v>
      </c>
      <c r="E910" s="29">
        <f t="shared" si="385"/>
        <v>32575.439999999999</v>
      </c>
      <c r="F910" s="37">
        <f t="shared" si="385"/>
        <v>17416341.689999998</v>
      </c>
      <c r="G910" s="29">
        <f t="shared" si="385"/>
        <v>18229647.870000005</v>
      </c>
      <c r="H910" s="11">
        <v>36.020000000000003</v>
      </c>
      <c r="I910" s="239">
        <f t="shared" si="385"/>
        <v>7040109.7999999998</v>
      </c>
      <c r="J910" s="116">
        <f t="shared" si="385"/>
        <v>42718674.799999997</v>
      </c>
      <c r="K910" s="246">
        <f t="shared" si="385"/>
        <v>43661317.988000005</v>
      </c>
      <c r="L910" s="116">
        <f t="shared" si="385"/>
        <v>45166997.067280002</v>
      </c>
    </row>
    <row r="911" spans="1:12" x14ac:dyDescent="0.2">
      <c r="A911" s="5" t="s">
        <v>773</v>
      </c>
      <c r="B911" s="7" t="s">
        <v>429</v>
      </c>
      <c r="C911" s="29">
        <f>C906</f>
        <v>-125699772</v>
      </c>
      <c r="D911" s="37">
        <f t="shared" ref="D911:G911" si="386">D906</f>
        <v>-2200541.1500000004</v>
      </c>
      <c r="E911" s="29">
        <f t="shared" si="386"/>
        <v>0</v>
      </c>
      <c r="F911" s="37">
        <f t="shared" si="386"/>
        <v>-87990354.340000004</v>
      </c>
      <c r="G911" s="29">
        <f t="shared" si="386"/>
        <v>-37709417.660000004</v>
      </c>
      <c r="H911" s="11">
        <v>70</v>
      </c>
      <c r="I911" s="239">
        <f t="shared" ref="I911:L911" si="387">I906</f>
        <v>-15109108.720000001</v>
      </c>
      <c r="J911" s="116">
        <f t="shared" si="387"/>
        <v>-140808880.72</v>
      </c>
      <c r="K911" s="246">
        <f t="shared" si="387"/>
        <v>-143232013.5632</v>
      </c>
      <c r="L911" s="116">
        <f t="shared" si="387"/>
        <v>-141466616.37699199</v>
      </c>
    </row>
    <row r="912" spans="1:12" x14ac:dyDescent="0.2">
      <c r="A912" s="5"/>
      <c r="B912" s="7"/>
      <c r="C912" s="29"/>
      <c r="D912" s="11"/>
      <c r="E912" s="9"/>
      <c r="F912" s="11"/>
      <c r="G912" s="9"/>
      <c r="H912" s="11"/>
      <c r="I912" s="240"/>
      <c r="J912" s="162"/>
      <c r="K912" s="169"/>
      <c r="L912" s="162"/>
    </row>
    <row r="913" spans="1:12" s="3" customFormat="1" ht="15" x14ac:dyDescent="0.25">
      <c r="A913" s="18"/>
      <c r="B913" s="19" t="s">
        <v>435</v>
      </c>
      <c r="C913" s="28">
        <f>C910+C911</f>
        <v>-90021207</v>
      </c>
      <c r="D913" s="36">
        <f t="shared" ref="D913:G913" si="388">D910+D911</f>
        <v>888892.14999999991</v>
      </c>
      <c r="E913" s="28">
        <f t="shared" si="388"/>
        <v>32575.439999999999</v>
      </c>
      <c r="F913" s="36">
        <f t="shared" si="388"/>
        <v>-70574012.650000006</v>
      </c>
      <c r="G913" s="28">
        <f t="shared" si="388"/>
        <v>-19479769.789999999</v>
      </c>
      <c r="H913" s="21">
        <v>83.46</v>
      </c>
      <c r="I913" s="243">
        <f t="shared" ref="I913:L913" si="389">I910+I911</f>
        <v>-8068998.9200000009</v>
      </c>
      <c r="J913" s="172">
        <f t="shared" si="389"/>
        <v>-98090205.920000002</v>
      </c>
      <c r="K913" s="236">
        <f t="shared" si="389"/>
        <v>-99570695.575199991</v>
      </c>
      <c r="L913" s="172">
        <f t="shared" si="389"/>
        <v>-96299619.309711993</v>
      </c>
    </row>
    <row r="914" spans="1:12" s="3" customFormat="1" ht="15" x14ac:dyDescent="0.25">
      <c r="A914" s="18"/>
      <c r="B914" s="19"/>
      <c r="C914" s="28"/>
      <c r="D914" s="21"/>
      <c r="E914" s="20"/>
      <c r="F914" s="21"/>
      <c r="G914" s="20"/>
      <c r="H914" s="21"/>
      <c r="I914" s="238"/>
      <c r="J914" s="168"/>
      <c r="K914" s="178"/>
      <c r="L914" s="168"/>
    </row>
    <row r="915" spans="1:12" s="3" customFormat="1" ht="15" x14ac:dyDescent="0.25">
      <c r="A915" s="18"/>
      <c r="B915" s="19" t="s">
        <v>436</v>
      </c>
      <c r="C915" s="28">
        <f>C913</f>
        <v>-90021207</v>
      </c>
      <c r="D915" s="36">
        <f t="shared" ref="D915:G915" si="390">D913</f>
        <v>888892.14999999991</v>
      </c>
      <c r="E915" s="28">
        <f t="shared" si="390"/>
        <v>32575.439999999999</v>
      </c>
      <c r="F915" s="36">
        <f t="shared" si="390"/>
        <v>-70574012.650000006</v>
      </c>
      <c r="G915" s="28">
        <f t="shared" si="390"/>
        <v>-19479769.789999999</v>
      </c>
      <c r="H915" s="21">
        <v>83.46</v>
      </c>
      <c r="I915" s="243">
        <f t="shared" ref="I915:L915" si="391">I913</f>
        <v>-8068998.9200000009</v>
      </c>
      <c r="J915" s="172">
        <f t="shared" si="391"/>
        <v>-98090205.920000002</v>
      </c>
      <c r="K915" s="236">
        <f t="shared" si="391"/>
        <v>-99570695.575199991</v>
      </c>
      <c r="L915" s="172">
        <f t="shared" si="391"/>
        <v>-96299619.309711993</v>
      </c>
    </row>
    <row r="916" spans="1:12" s="3" customFormat="1" ht="15" x14ac:dyDescent="0.25">
      <c r="A916" s="18"/>
      <c r="B916" s="19"/>
      <c r="C916" s="28"/>
      <c r="D916" s="21"/>
      <c r="E916" s="20"/>
      <c r="F916" s="21"/>
      <c r="G916" s="20"/>
      <c r="H916" s="21"/>
      <c r="I916" s="238"/>
      <c r="J916" s="168"/>
      <c r="K916" s="178"/>
      <c r="L916" s="168"/>
    </row>
    <row r="917" spans="1:12" x14ac:dyDescent="0.2">
      <c r="A917" s="5" t="s">
        <v>774</v>
      </c>
      <c r="B917" s="7" t="s">
        <v>481</v>
      </c>
      <c r="C917" s="29">
        <v>50000</v>
      </c>
      <c r="D917" s="11">
        <v>0</v>
      </c>
      <c r="E917" s="9">
        <v>0</v>
      </c>
      <c r="F917" s="11">
        <v>0</v>
      </c>
      <c r="G917" s="9">
        <v>50000</v>
      </c>
      <c r="H917" s="11">
        <v>0</v>
      </c>
      <c r="I917" s="240">
        <f>'budget &amp; Treasury'!I143</f>
        <v>0</v>
      </c>
      <c r="J917" s="109">
        <f>'budget &amp; Treasury'!J143</f>
        <v>50000</v>
      </c>
      <c r="K917" s="229">
        <f>'budget &amp; Treasury'!K143</f>
        <v>0</v>
      </c>
      <c r="L917" s="109">
        <f>'budget &amp; Treasury'!L143</f>
        <v>70000</v>
      </c>
    </row>
    <row r="918" spans="1:12" x14ac:dyDescent="0.2">
      <c r="A918" s="5"/>
      <c r="B918" s="7"/>
      <c r="C918" s="29"/>
      <c r="D918" s="11"/>
      <c r="E918" s="9"/>
      <c r="F918" s="11"/>
      <c r="G918" s="9"/>
      <c r="H918" s="11"/>
      <c r="I918" s="240"/>
      <c r="J918" s="162"/>
      <c r="K918" s="169"/>
      <c r="L918" s="162"/>
    </row>
    <row r="919" spans="1:12" s="3" customFormat="1" ht="15" x14ac:dyDescent="0.25">
      <c r="A919" s="18"/>
      <c r="B919" s="19" t="s">
        <v>494</v>
      </c>
      <c r="C919" s="28">
        <f>SUM(C917:C918)</f>
        <v>50000</v>
      </c>
      <c r="D919" s="36">
        <f t="shared" ref="D919:G919" si="392">SUM(D917:D918)</f>
        <v>0</v>
      </c>
      <c r="E919" s="28">
        <f t="shared" si="392"/>
        <v>0</v>
      </c>
      <c r="F919" s="36">
        <f t="shared" si="392"/>
        <v>0</v>
      </c>
      <c r="G919" s="28">
        <f t="shared" si="392"/>
        <v>50000</v>
      </c>
      <c r="H919" s="21">
        <v>0</v>
      </c>
      <c r="I919" s="243">
        <f t="shared" ref="I919:L919" si="393">SUM(I917:I918)</f>
        <v>0</v>
      </c>
      <c r="J919" s="172">
        <f t="shared" si="393"/>
        <v>50000</v>
      </c>
      <c r="K919" s="236">
        <f t="shared" si="393"/>
        <v>0</v>
      </c>
      <c r="L919" s="172">
        <f t="shared" si="393"/>
        <v>70000</v>
      </c>
    </row>
    <row r="920" spans="1:12" s="3" customFormat="1" ht="15" x14ac:dyDescent="0.25">
      <c r="A920" s="18"/>
      <c r="B920" s="19"/>
      <c r="C920" s="28"/>
      <c r="D920" s="21"/>
      <c r="E920" s="20"/>
      <c r="F920" s="21"/>
      <c r="G920" s="20"/>
      <c r="H920" s="21"/>
      <c r="I920" s="238"/>
      <c r="J920" s="168"/>
      <c r="K920" s="178"/>
      <c r="L920" s="168"/>
    </row>
    <row r="921" spans="1:12" s="3" customFormat="1" ht="15" x14ac:dyDescent="0.25">
      <c r="A921" s="18"/>
      <c r="B921" s="19" t="s">
        <v>495</v>
      </c>
      <c r="C921" s="28">
        <f>C919</f>
        <v>50000</v>
      </c>
      <c r="D921" s="21">
        <v>0</v>
      </c>
      <c r="E921" s="20">
        <v>0</v>
      </c>
      <c r="F921" s="21">
        <v>0</v>
      </c>
      <c r="G921" s="20">
        <v>50000</v>
      </c>
      <c r="H921" s="21">
        <v>0</v>
      </c>
      <c r="I921" s="243">
        <f t="shared" ref="I921:L921" si="394">I919</f>
        <v>0</v>
      </c>
      <c r="J921" s="172">
        <f t="shared" si="394"/>
        <v>50000</v>
      </c>
      <c r="K921" s="236">
        <f t="shared" si="394"/>
        <v>0</v>
      </c>
      <c r="L921" s="172">
        <f t="shared" si="394"/>
        <v>70000</v>
      </c>
    </row>
    <row r="922" spans="1:12" s="3" customFormat="1" ht="15" x14ac:dyDescent="0.25">
      <c r="A922" s="18"/>
      <c r="B922" s="19"/>
      <c r="C922" s="28"/>
      <c r="D922" s="21"/>
      <c r="E922" s="20"/>
      <c r="F922" s="21"/>
      <c r="G922" s="20"/>
      <c r="H922" s="21"/>
      <c r="I922" s="238"/>
      <c r="J922" s="168"/>
      <c r="K922" s="178"/>
      <c r="L922" s="168"/>
    </row>
    <row r="923" spans="1:12" s="3" customFormat="1" ht="15" x14ac:dyDescent="0.25">
      <c r="A923" s="18"/>
      <c r="B923" s="19" t="s">
        <v>776</v>
      </c>
      <c r="C923" s="28"/>
      <c r="D923" s="21"/>
      <c r="E923" s="20"/>
      <c r="F923" s="21"/>
      <c r="G923" s="20"/>
      <c r="H923" s="21"/>
      <c r="I923" s="238"/>
      <c r="J923" s="168"/>
      <c r="K923" s="178"/>
      <c r="L923" s="168"/>
    </row>
    <row r="924" spans="1:12" s="3" customFormat="1" ht="15" x14ac:dyDescent="0.25">
      <c r="A924" s="18"/>
      <c r="B924" s="19"/>
      <c r="C924" s="28"/>
      <c r="D924" s="21"/>
      <c r="E924" s="20"/>
      <c r="F924" s="21"/>
      <c r="G924" s="20"/>
      <c r="H924" s="21"/>
      <c r="I924" s="238"/>
      <c r="J924" s="168"/>
      <c r="K924" s="178"/>
      <c r="L924" s="168"/>
    </row>
    <row r="925" spans="1:12" s="3" customFormat="1" ht="15" x14ac:dyDescent="0.25">
      <c r="A925" s="18"/>
      <c r="B925" s="19" t="s">
        <v>9</v>
      </c>
      <c r="C925" s="28"/>
      <c r="D925" s="21"/>
      <c r="E925" s="20"/>
      <c r="F925" s="21"/>
      <c r="G925" s="20"/>
      <c r="H925" s="21"/>
      <c r="I925" s="238"/>
      <c r="J925" s="168"/>
      <c r="K925" s="178"/>
      <c r="L925" s="168"/>
    </row>
    <row r="926" spans="1:12" s="3" customFormat="1" ht="15" x14ac:dyDescent="0.25">
      <c r="A926" s="18"/>
      <c r="B926" s="19"/>
      <c r="C926" s="28"/>
      <c r="D926" s="21"/>
      <c r="E926" s="20"/>
      <c r="F926" s="21"/>
      <c r="G926" s="20"/>
      <c r="H926" s="21"/>
      <c r="I926" s="238"/>
      <c r="J926" s="168"/>
      <c r="K926" s="178"/>
      <c r="L926" s="168"/>
    </row>
    <row r="927" spans="1:12" s="3" customFormat="1" ht="15" x14ac:dyDescent="0.25">
      <c r="A927" s="18"/>
      <c r="B927" s="19" t="s">
        <v>10</v>
      </c>
      <c r="C927" s="28"/>
      <c r="D927" s="21"/>
      <c r="E927" s="20"/>
      <c r="F927" s="21"/>
      <c r="G927" s="20"/>
      <c r="H927" s="21"/>
      <c r="I927" s="238"/>
      <c r="J927" s="168"/>
      <c r="K927" s="178"/>
      <c r="L927" s="168"/>
    </row>
    <row r="928" spans="1:12" s="3" customFormat="1" ht="15" x14ac:dyDescent="0.25">
      <c r="A928" s="18"/>
      <c r="B928" s="19"/>
      <c r="C928" s="28"/>
      <c r="D928" s="21"/>
      <c r="E928" s="20"/>
      <c r="F928" s="21"/>
      <c r="G928" s="20"/>
      <c r="H928" s="21"/>
      <c r="I928" s="238"/>
      <c r="J928" s="168"/>
      <c r="K928" s="178"/>
      <c r="L928" s="168"/>
    </row>
    <row r="929" spans="1:12" s="3" customFormat="1" ht="15" x14ac:dyDescent="0.25">
      <c r="A929" s="18"/>
      <c r="B929" s="19" t="s">
        <v>11</v>
      </c>
      <c r="C929" s="28"/>
      <c r="D929" s="21"/>
      <c r="E929" s="20"/>
      <c r="F929" s="21"/>
      <c r="G929" s="20"/>
      <c r="H929" s="21"/>
      <c r="I929" s="238"/>
      <c r="J929" s="168"/>
      <c r="K929" s="178"/>
      <c r="L929" s="168"/>
    </row>
    <row r="930" spans="1:12" s="3" customFormat="1" ht="15" x14ac:dyDescent="0.25">
      <c r="A930" s="18"/>
      <c r="B930" s="19"/>
      <c r="C930" s="28"/>
      <c r="D930" s="21"/>
      <c r="E930" s="20"/>
      <c r="F930" s="21"/>
      <c r="G930" s="20"/>
      <c r="H930" s="21"/>
      <c r="I930" s="238"/>
      <c r="J930" s="168"/>
      <c r="K930" s="178"/>
      <c r="L930" s="168"/>
    </row>
    <row r="931" spans="1:12" x14ac:dyDescent="0.2">
      <c r="A931" s="5" t="s">
        <v>777</v>
      </c>
      <c r="B931" s="7" t="s">
        <v>13</v>
      </c>
      <c r="C931" s="29">
        <v>827178</v>
      </c>
      <c r="D931" s="11">
        <v>0</v>
      </c>
      <c r="E931" s="9">
        <v>0</v>
      </c>
      <c r="F931" s="11">
        <v>377898.13</v>
      </c>
      <c r="G931" s="9">
        <f t="shared" ref="G931:G944" si="395">C931-E931-F931</f>
        <v>449279.87</v>
      </c>
      <c r="H931" s="11">
        <v>45.68</v>
      </c>
      <c r="I931" s="240">
        <f>'Community services'!I10</f>
        <v>0</v>
      </c>
      <c r="J931" s="109">
        <f>'Community services'!J10</f>
        <v>827178</v>
      </c>
      <c r="K931" s="229">
        <f>'Community services'!K10</f>
        <v>876808.68</v>
      </c>
      <c r="L931" s="109">
        <f>'Community services'!L10</f>
        <v>929417.20079999999</v>
      </c>
    </row>
    <row r="932" spans="1:12" x14ac:dyDescent="0.2">
      <c r="A932" s="5" t="s">
        <v>778</v>
      </c>
      <c r="B932" s="7" t="s">
        <v>15</v>
      </c>
      <c r="C932" s="29">
        <v>12528</v>
      </c>
      <c r="D932" s="11">
        <v>2800</v>
      </c>
      <c r="E932" s="9">
        <v>0</v>
      </c>
      <c r="F932" s="11">
        <v>17800</v>
      </c>
      <c r="G932" s="9">
        <f t="shared" si="395"/>
        <v>-5272</v>
      </c>
      <c r="H932" s="11">
        <v>142.08000000000001</v>
      </c>
      <c r="I932" s="240">
        <f>'Community services'!I11</f>
        <v>28874.2</v>
      </c>
      <c r="J932" s="109">
        <f>'Community services'!J11</f>
        <v>41402.199999999997</v>
      </c>
      <c r="K932" s="229">
        <f>'Community services'!K11</f>
        <v>43886.331999999995</v>
      </c>
      <c r="L932" s="109">
        <f>'Community services'!L11</f>
        <v>46519.511919999997</v>
      </c>
    </row>
    <row r="933" spans="1:12" x14ac:dyDescent="0.2">
      <c r="A933" s="5" t="s">
        <v>779</v>
      </c>
      <c r="B933" s="7" t="s">
        <v>17</v>
      </c>
      <c r="C933" s="29">
        <v>31385</v>
      </c>
      <c r="D933" s="11">
        <v>2615.4</v>
      </c>
      <c r="E933" s="9">
        <v>0</v>
      </c>
      <c r="F933" s="11">
        <v>15692.4</v>
      </c>
      <c r="G933" s="9">
        <f t="shared" si="395"/>
        <v>15692.6</v>
      </c>
      <c r="H933" s="11">
        <v>49.99</v>
      </c>
      <c r="I933" s="240">
        <f>'Community services'!I12</f>
        <v>0</v>
      </c>
      <c r="J933" s="109">
        <f>'Community services'!J12</f>
        <v>31385</v>
      </c>
      <c r="K933" s="229">
        <f>'Community services'!K12</f>
        <v>33268.1</v>
      </c>
      <c r="L933" s="109">
        <f>'Community services'!L12</f>
        <v>35264.186000000002</v>
      </c>
    </row>
    <row r="934" spans="1:12" x14ac:dyDescent="0.2">
      <c r="A934" s="5" t="s">
        <v>780</v>
      </c>
      <c r="B934" s="7" t="s">
        <v>19</v>
      </c>
      <c r="C934" s="29">
        <v>231000</v>
      </c>
      <c r="D934" s="11">
        <v>13822.56</v>
      </c>
      <c r="E934" s="9">
        <v>0</v>
      </c>
      <c r="F934" s="11">
        <v>115851.8</v>
      </c>
      <c r="G934" s="9">
        <f t="shared" si="395"/>
        <v>115148.2</v>
      </c>
      <c r="H934" s="11">
        <v>50.15</v>
      </c>
      <c r="I934" s="240">
        <f>'Community services'!I13</f>
        <v>0</v>
      </c>
      <c r="J934" s="109">
        <f>'Community services'!J13</f>
        <v>231000</v>
      </c>
      <c r="K934" s="229">
        <f>'Community services'!K13</f>
        <v>244860</v>
      </c>
      <c r="L934" s="109">
        <f>'Community services'!L13</f>
        <v>259551.6</v>
      </c>
    </row>
    <row r="935" spans="1:12" x14ac:dyDescent="0.2">
      <c r="A935" s="5" t="s">
        <v>781</v>
      </c>
      <c r="B935" s="7" t="s">
        <v>21</v>
      </c>
      <c r="C935" s="29">
        <v>359000</v>
      </c>
      <c r="D935" s="11">
        <v>48943.71</v>
      </c>
      <c r="E935" s="9">
        <v>0</v>
      </c>
      <c r="F935" s="11">
        <v>276072.49</v>
      </c>
      <c r="G935" s="9">
        <f t="shared" si="395"/>
        <v>82927.510000000009</v>
      </c>
      <c r="H935" s="11">
        <v>76.900000000000006</v>
      </c>
      <c r="I935" s="240">
        <f>'Community services'!I14</f>
        <v>80000</v>
      </c>
      <c r="J935" s="109">
        <f>'Community services'!J14</f>
        <v>439000</v>
      </c>
      <c r="K935" s="229">
        <f>'Community services'!K14</f>
        <v>465340</v>
      </c>
      <c r="L935" s="109">
        <f>'Community services'!L14</f>
        <v>493260.4</v>
      </c>
    </row>
    <row r="936" spans="1:12" x14ac:dyDescent="0.2">
      <c r="A936" s="5" t="s">
        <v>782</v>
      </c>
      <c r="B936" s="7" t="s">
        <v>24</v>
      </c>
      <c r="C936" s="29">
        <v>233040</v>
      </c>
      <c r="D936" s="11">
        <v>14575</v>
      </c>
      <c r="E936" s="9">
        <v>0</v>
      </c>
      <c r="F936" s="11">
        <v>67475</v>
      </c>
      <c r="G936" s="9">
        <f t="shared" si="395"/>
        <v>165565</v>
      </c>
      <c r="H936" s="11">
        <v>28.95</v>
      </c>
      <c r="I936" s="240">
        <f>'Community services'!I15</f>
        <v>0</v>
      </c>
      <c r="J936" s="109">
        <f>'Community services'!J15</f>
        <v>233040</v>
      </c>
      <c r="K936" s="229">
        <f>'Community services'!K15</f>
        <v>247022.4</v>
      </c>
      <c r="L936" s="109">
        <f>'Community services'!L15</f>
        <v>261843.74400000001</v>
      </c>
    </row>
    <row r="937" spans="1:12" x14ac:dyDescent="0.2">
      <c r="A937" s="5" t="s">
        <v>783</v>
      </c>
      <c r="B937" s="7" t="s">
        <v>28</v>
      </c>
      <c r="C937" s="29">
        <v>16965</v>
      </c>
      <c r="D937" s="11">
        <v>0</v>
      </c>
      <c r="E937" s="9">
        <v>0</v>
      </c>
      <c r="F937" s="11">
        <v>0</v>
      </c>
      <c r="G937" s="9">
        <f t="shared" si="395"/>
        <v>16965</v>
      </c>
      <c r="H937" s="11">
        <v>0</v>
      </c>
      <c r="I937" s="240">
        <f>'Community services'!I16</f>
        <v>0</v>
      </c>
      <c r="J937" s="109">
        <f>'Community services'!J16</f>
        <v>16965</v>
      </c>
      <c r="K937" s="229">
        <f>'Community services'!K16</f>
        <v>17982.900000000001</v>
      </c>
      <c r="L937" s="109">
        <f>'Community services'!L16</f>
        <v>19061.874000000003</v>
      </c>
    </row>
    <row r="938" spans="1:12" x14ac:dyDescent="0.2">
      <c r="A938" s="5" t="s">
        <v>784</v>
      </c>
      <c r="B938" s="7" t="s">
        <v>30</v>
      </c>
      <c r="C938" s="29">
        <v>100000</v>
      </c>
      <c r="D938" s="11">
        <v>11046.25</v>
      </c>
      <c r="E938" s="9">
        <v>0</v>
      </c>
      <c r="F938" s="11">
        <v>11046.25</v>
      </c>
      <c r="G938" s="9">
        <f t="shared" si="395"/>
        <v>88953.75</v>
      </c>
      <c r="H938" s="11">
        <v>11.04</v>
      </c>
      <c r="I938" s="240">
        <f>'Community services'!I17</f>
        <v>0</v>
      </c>
      <c r="J938" s="109">
        <f>'Community services'!J17</f>
        <v>100000</v>
      </c>
      <c r="K938" s="229">
        <f>'Community services'!K17</f>
        <v>0</v>
      </c>
      <c r="L938" s="109">
        <f>'Community services'!L17</f>
        <v>0</v>
      </c>
    </row>
    <row r="939" spans="1:12" x14ac:dyDescent="0.2">
      <c r="A939" s="5" t="s">
        <v>785</v>
      </c>
      <c r="B939" s="7" t="s">
        <v>32</v>
      </c>
      <c r="C939" s="29">
        <v>9926124</v>
      </c>
      <c r="D939" s="11">
        <v>809111.73</v>
      </c>
      <c r="E939" s="9">
        <v>0</v>
      </c>
      <c r="F939" s="11">
        <v>4828547.12</v>
      </c>
      <c r="G939" s="9">
        <f t="shared" si="395"/>
        <v>5097576.88</v>
      </c>
      <c r="H939" s="11">
        <v>48.64</v>
      </c>
      <c r="I939" s="240">
        <f>'Community services'!I18</f>
        <v>0</v>
      </c>
      <c r="J939" s="109">
        <f>'Community services'!J18</f>
        <v>9926124</v>
      </c>
      <c r="K939" s="229">
        <f>'Community services'!K18</f>
        <v>10521691.439999999</v>
      </c>
      <c r="L939" s="109">
        <f>'Community services'!L18</f>
        <v>11152992.9264</v>
      </c>
    </row>
    <row r="940" spans="1:12" x14ac:dyDescent="0.2">
      <c r="A940" s="5" t="s">
        <v>787</v>
      </c>
      <c r="B940" s="7" t="s">
        <v>36</v>
      </c>
      <c r="C940" s="29">
        <v>663276</v>
      </c>
      <c r="D940" s="11">
        <v>57477.83</v>
      </c>
      <c r="E940" s="9">
        <v>0</v>
      </c>
      <c r="F940" s="11">
        <v>342719.78</v>
      </c>
      <c r="G940" s="9">
        <f t="shared" si="395"/>
        <v>320556.21999999997</v>
      </c>
      <c r="H940" s="11">
        <v>51.67</v>
      </c>
      <c r="I940" s="240">
        <f>'Community services'!I20</f>
        <v>0</v>
      </c>
      <c r="J940" s="109">
        <f>'Community services'!J20</f>
        <v>663276</v>
      </c>
      <c r="K940" s="229">
        <f>'Community services'!K20</f>
        <v>703072.56</v>
      </c>
      <c r="L940" s="109">
        <f>'Community services'!L20</f>
        <v>745256.91360000009</v>
      </c>
    </row>
    <row r="941" spans="1:12" x14ac:dyDescent="0.2">
      <c r="A941" s="5" t="s">
        <v>788</v>
      </c>
      <c r="B941" s="7" t="s">
        <v>40</v>
      </c>
      <c r="C941" s="29">
        <v>21600</v>
      </c>
      <c r="D941" s="11">
        <v>9250</v>
      </c>
      <c r="E941" s="9">
        <v>0</v>
      </c>
      <c r="F941" s="11">
        <v>41500</v>
      </c>
      <c r="G941" s="9">
        <f t="shared" si="395"/>
        <v>-19900</v>
      </c>
      <c r="H941" s="11">
        <v>192.12</v>
      </c>
      <c r="I941" s="240">
        <f>'Community services'!I21</f>
        <v>30672</v>
      </c>
      <c r="J941" s="109">
        <f>'Community services'!J21</f>
        <v>52272</v>
      </c>
      <c r="K941" s="229">
        <f>'Community services'!K21</f>
        <v>55408.32</v>
      </c>
      <c r="L941" s="109">
        <f>'Community services'!L21</f>
        <v>58732.819199999998</v>
      </c>
    </row>
    <row r="942" spans="1:12" x14ac:dyDescent="0.2">
      <c r="A942" s="5" t="s">
        <v>789</v>
      </c>
      <c r="B942" s="7" t="s">
        <v>44</v>
      </c>
      <c r="C942" s="29">
        <v>0</v>
      </c>
      <c r="D942" s="11">
        <v>0</v>
      </c>
      <c r="E942" s="9">
        <v>0</v>
      </c>
      <c r="F942" s="11">
        <v>0</v>
      </c>
      <c r="G942" s="9">
        <f t="shared" si="395"/>
        <v>0</v>
      </c>
      <c r="H942" s="11">
        <v>0</v>
      </c>
      <c r="I942" s="240">
        <f>'Community services'!I22</f>
        <v>0</v>
      </c>
      <c r="J942" s="109">
        <f>'Community services'!J22</f>
        <v>0</v>
      </c>
      <c r="K942" s="229">
        <f>'Community services'!K22</f>
        <v>0</v>
      </c>
      <c r="L942" s="109">
        <f>'Community services'!L22</f>
        <v>0</v>
      </c>
    </row>
    <row r="943" spans="1:12" x14ac:dyDescent="0.2">
      <c r="A943" s="5" t="s">
        <v>790</v>
      </c>
      <c r="B943" s="7" t="s">
        <v>46</v>
      </c>
      <c r="C943" s="29">
        <v>0</v>
      </c>
      <c r="D943" s="11">
        <v>0</v>
      </c>
      <c r="E943" s="9">
        <v>0</v>
      </c>
      <c r="F943" s="11">
        <v>0</v>
      </c>
      <c r="G943" s="9">
        <f t="shared" si="395"/>
        <v>0</v>
      </c>
      <c r="H943" s="11">
        <v>0</v>
      </c>
      <c r="I943" s="240">
        <f>'Community services'!I23</f>
        <v>0</v>
      </c>
      <c r="J943" s="162">
        <f t="shared" ref="J943:J944" si="396">C943+I943</f>
        <v>0</v>
      </c>
      <c r="K943" s="169"/>
      <c r="L943" s="162"/>
    </row>
    <row r="944" spans="1:12" x14ac:dyDescent="0.2">
      <c r="A944" s="5" t="s">
        <v>791</v>
      </c>
      <c r="B944" s="7" t="s">
        <v>48</v>
      </c>
      <c r="C944" s="29">
        <v>0</v>
      </c>
      <c r="D944" s="11">
        <v>0</v>
      </c>
      <c r="E944" s="9">
        <v>0</v>
      </c>
      <c r="F944" s="11">
        <v>0</v>
      </c>
      <c r="G944" s="9">
        <f t="shared" si="395"/>
        <v>0</v>
      </c>
      <c r="H944" s="11">
        <v>0</v>
      </c>
      <c r="I944" s="240">
        <f>'Community services'!I24</f>
        <v>0</v>
      </c>
      <c r="J944" s="162">
        <f t="shared" si="396"/>
        <v>0</v>
      </c>
      <c r="K944" s="169"/>
      <c r="L944" s="162"/>
    </row>
    <row r="945" spans="1:12" x14ac:dyDescent="0.2">
      <c r="A945" s="5"/>
      <c r="B945" s="7"/>
      <c r="C945" s="29"/>
      <c r="D945" s="11"/>
      <c r="E945" s="9"/>
      <c r="F945" s="11"/>
      <c r="G945" s="9"/>
      <c r="H945" s="11"/>
      <c r="I945" s="240"/>
      <c r="J945" s="162"/>
      <c r="K945" s="169"/>
      <c r="L945" s="162"/>
    </row>
    <row r="946" spans="1:12" s="3" customFormat="1" ht="15" x14ac:dyDescent="0.25">
      <c r="A946" s="18"/>
      <c r="B946" s="19" t="s">
        <v>49</v>
      </c>
      <c r="C946" s="28">
        <f>SUM(C931:C945)</f>
        <v>12422096</v>
      </c>
      <c r="D946" s="36">
        <f>SUM(D931:D945)</f>
        <v>969642.48</v>
      </c>
      <c r="E946" s="28">
        <f>SUM(E931:E945)</f>
        <v>0</v>
      </c>
      <c r="F946" s="36">
        <f>SUM(F931:F945)</f>
        <v>6094602.9700000007</v>
      </c>
      <c r="G946" s="28">
        <f>SUM(G931:G945)</f>
        <v>6327493.0299999993</v>
      </c>
      <c r="H946" s="21">
        <v>49.06</v>
      </c>
      <c r="I946" s="243">
        <f>SUM(I931:I945)</f>
        <v>139546.20000000001</v>
      </c>
      <c r="J946" s="172">
        <f>SUM(J931:J945)</f>
        <v>12561642.199999999</v>
      </c>
      <c r="K946" s="236">
        <f>SUM(K931:K945)</f>
        <v>13209340.732000001</v>
      </c>
      <c r="L946" s="172">
        <f>SUM(L931:L945)</f>
        <v>14001901.17592</v>
      </c>
    </row>
    <row r="947" spans="1:12" s="3" customFormat="1" ht="15" x14ac:dyDescent="0.25">
      <c r="A947" s="18"/>
      <c r="B947" s="19"/>
      <c r="C947" s="28"/>
      <c r="D947" s="21"/>
      <c r="E947" s="20"/>
      <c r="F947" s="21"/>
      <c r="G947" s="20"/>
      <c r="H947" s="21"/>
      <c r="I947" s="238"/>
      <c r="J947" s="168"/>
      <c r="K947" s="178"/>
      <c r="L947" s="168"/>
    </row>
    <row r="948" spans="1:12" s="3" customFormat="1" ht="15" x14ac:dyDescent="0.25">
      <c r="A948" s="18"/>
      <c r="B948" s="19" t="s">
        <v>50</v>
      </c>
      <c r="C948" s="28"/>
      <c r="D948" s="21"/>
      <c r="E948" s="20"/>
      <c r="F948" s="21"/>
      <c r="G948" s="20"/>
      <c r="H948" s="21"/>
      <c r="I948" s="238"/>
      <c r="J948" s="168"/>
      <c r="K948" s="178"/>
      <c r="L948" s="168"/>
    </row>
    <row r="949" spans="1:12" x14ac:dyDescent="0.2">
      <c r="A949" s="5"/>
      <c r="B949" s="7"/>
      <c r="C949" s="29"/>
      <c r="D949" s="11"/>
      <c r="E949" s="9"/>
      <c r="F949" s="11"/>
      <c r="G949" s="9"/>
      <c r="H949" s="11"/>
      <c r="I949" s="240"/>
      <c r="J949" s="162"/>
      <c r="K949" s="169"/>
      <c r="L949" s="162"/>
    </row>
    <row r="950" spans="1:12" x14ac:dyDescent="0.2">
      <c r="A950" s="5" t="s">
        <v>792</v>
      </c>
      <c r="B950" s="7" t="s">
        <v>53</v>
      </c>
      <c r="C950" s="29">
        <v>3811</v>
      </c>
      <c r="D950" s="11">
        <v>348</v>
      </c>
      <c r="E950" s="9">
        <v>0</v>
      </c>
      <c r="F950" s="11">
        <v>2102.5</v>
      </c>
      <c r="G950" s="9">
        <f t="shared" ref="G950:G955" si="397">C950-E950-F950</f>
        <v>1708.5</v>
      </c>
      <c r="H950" s="11">
        <v>55.16</v>
      </c>
      <c r="I950" s="240">
        <f>'Community services'!I30</f>
        <v>0</v>
      </c>
      <c r="J950" s="109">
        <f>'Community services'!J30</f>
        <v>3811</v>
      </c>
      <c r="K950" s="229">
        <f>'Community services'!K30</f>
        <v>4039.66</v>
      </c>
      <c r="L950" s="109">
        <f>'Community services'!L30</f>
        <v>4282.0396000000001</v>
      </c>
    </row>
    <row r="951" spans="1:12" x14ac:dyDescent="0.2">
      <c r="A951" s="5" t="s">
        <v>793</v>
      </c>
      <c r="B951" s="7" t="s">
        <v>55</v>
      </c>
      <c r="C951" s="29">
        <v>76131</v>
      </c>
      <c r="D951" s="11">
        <v>6574.49</v>
      </c>
      <c r="E951" s="9">
        <v>0</v>
      </c>
      <c r="F951" s="11">
        <v>39253.120000000003</v>
      </c>
      <c r="G951" s="9">
        <f t="shared" si="397"/>
        <v>36877.879999999997</v>
      </c>
      <c r="H951" s="11">
        <v>51.55</v>
      </c>
      <c r="I951" s="240">
        <f>'Community services'!I31</f>
        <v>0</v>
      </c>
      <c r="J951" s="109">
        <f>'Community services'!J31</f>
        <v>76131</v>
      </c>
      <c r="K951" s="229">
        <f>'Community services'!K31</f>
        <v>80698.86</v>
      </c>
      <c r="L951" s="109">
        <f>'Community services'!L31</f>
        <v>85540.791599999997</v>
      </c>
    </row>
    <row r="952" spans="1:12" x14ac:dyDescent="0.2">
      <c r="A952" s="5" t="s">
        <v>794</v>
      </c>
      <c r="B952" s="7" t="s">
        <v>57</v>
      </c>
      <c r="C952" s="29">
        <v>1058256</v>
      </c>
      <c r="D952" s="11">
        <v>75112.800000000003</v>
      </c>
      <c r="E952" s="9">
        <v>0</v>
      </c>
      <c r="F952" s="11">
        <v>433710.4</v>
      </c>
      <c r="G952" s="9">
        <f t="shared" si="397"/>
        <v>624545.6</v>
      </c>
      <c r="H952" s="11">
        <v>40.98</v>
      </c>
      <c r="I952" s="240">
        <f>'Community services'!I32</f>
        <v>0</v>
      </c>
      <c r="J952" s="109">
        <f>'Community services'!J32</f>
        <v>1058256</v>
      </c>
      <c r="K952" s="229">
        <f>'Community services'!K32</f>
        <v>1121751.3600000001</v>
      </c>
      <c r="L952" s="109">
        <f>'Community services'!L32</f>
        <v>1189056.4416</v>
      </c>
    </row>
    <row r="953" spans="1:12" x14ac:dyDescent="0.2">
      <c r="A953" s="5" t="s">
        <v>795</v>
      </c>
      <c r="B953" s="7" t="s">
        <v>59</v>
      </c>
      <c r="C953" s="29">
        <v>2183747</v>
      </c>
      <c r="D953" s="11">
        <v>168091.37</v>
      </c>
      <c r="E953" s="9">
        <v>0</v>
      </c>
      <c r="F953" s="11">
        <v>1004931.46</v>
      </c>
      <c r="G953" s="9">
        <f t="shared" si="397"/>
        <v>1178815.54</v>
      </c>
      <c r="H953" s="11">
        <v>46.01</v>
      </c>
      <c r="I953" s="240">
        <f>'Community services'!I33</f>
        <v>0</v>
      </c>
      <c r="J953" s="109">
        <f>'Community services'!J33</f>
        <v>2183747</v>
      </c>
      <c r="K953" s="229">
        <f>'Community services'!K33</f>
        <v>2314771.8199999998</v>
      </c>
      <c r="L953" s="109">
        <f>'Community services'!L33</f>
        <v>2453658.1291999999</v>
      </c>
    </row>
    <row r="954" spans="1:12" x14ac:dyDescent="0.2">
      <c r="A954" s="5" t="s">
        <v>796</v>
      </c>
      <c r="B954" s="7" t="s">
        <v>60</v>
      </c>
      <c r="C954" s="29">
        <v>0</v>
      </c>
      <c r="D954" s="11">
        <v>0</v>
      </c>
      <c r="E954" s="9">
        <v>0</v>
      </c>
      <c r="F954" s="11">
        <v>0</v>
      </c>
      <c r="G954" s="9">
        <f t="shared" si="397"/>
        <v>0</v>
      </c>
      <c r="H954" s="11">
        <v>0</v>
      </c>
      <c r="I954" s="240">
        <f>'Community services'!I34</f>
        <v>0</v>
      </c>
      <c r="J954" s="109">
        <f>'Community services'!J34</f>
        <v>0</v>
      </c>
      <c r="K954" s="229">
        <f>'Community services'!K34</f>
        <v>0</v>
      </c>
      <c r="L954" s="109">
        <f>'Community services'!L34</f>
        <v>0</v>
      </c>
    </row>
    <row r="955" spans="1:12" x14ac:dyDescent="0.2">
      <c r="A955" s="5" t="s">
        <v>797</v>
      </c>
      <c r="B955" s="7" t="s">
        <v>62</v>
      </c>
      <c r="C955" s="29">
        <v>198522</v>
      </c>
      <c r="D955" s="11">
        <v>9661.32</v>
      </c>
      <c r="E955" s="9">
        <v>0</v>
      </c>
      <c r="F955" s="11">
        <v>60478.07</v>
      </c>
      <c r="G955" s="9">
        <f t="shared" si="397"/>
        <v>138043.93</v>
      </c>
      <c r="H955" s="11">
        <v>30.46</v>
      </c>
      <c r="I955" s="240">
        <f>'Community services'!I35</f>
        <v>-29778.3</v>
      </c>
      <c r="J955" s="109">
        <f>'Community services'!J35</f>
        <v>168743.7</v>
      </c>
      <c r="K955" s="229">
        <f>'Community services'!K35</f>
        <v>178868.32200000001</v>
      </c>
      <c r="L955" s="109">
        <f>'Community services'!L35</f>
        <v>189600.42132000002</v>
      </c>
    </row>
    <row r="956" spans="1:12" x14ac:dyDescent="0.2">
      <c r="A956" s="5"/>
      <c r="B956" s="7"/>
      <c r="C956" s="29"/>
      <c r="D956" s="11"/>
      <c r="E956" s="9"/>
      <c r="F956" s="11"/>
      <c r="G956" s="9"/>
      <c r="H956" s="11"/>
      <c r="I956" s="240"/>
      <c r="J956" s="162"/>
      <c r="K956" s="169"/>
      <c r="L956" s="162"/>
    </row>
    <row r="957" spans="1:12" s="3" customFormat="1" ht="15" x14ac:dyDescent="0.25">
      <c r="A957" s="18"/>
      <c r="B957" s="19" t="s">
        <v>63</v>
      </c>
      <c r="C957" s="28">
        <f>SUM(C950:C956)</f>
        <v>3520467</v>
      </c>
      <c r="D957" s="36">
        <f t="shared" ref="D957:G957" si="398">SUM(D950:D956)</f>
        <v>259787.98</v>
      </c>
      <c r="E957" s="28">
        <f t="shared" si="398"/>
        <v>0</v>
      </c>
      <c r="F957" s="36">
        <f t="shared" si="398"/>
        <v>1540475.55</v>
      </c>
      <c r="G957" s="28">
        <f t="shared" si="398"/>
        <v>1979991.45</v>
      </c>
      <c r="H957" s="21">
        <v>43.75</v>
      </c>
      <c r="I957" s="243">
        <f t="shared" ref="I957" si="399">SUM(I950:I956)</f>
        <v>-29778.3</v>
      </c>
      <c r="J957" s="172">
        <f t="shared" ref="J957" si="400">SUM(J950:J956)</f>
        <v>3490688.7</v>
      </c>
      <c r="K957" s="236">
        <f t="shared" ref="K957" si="401">SUM(K950:K956)</f>
        <v>3700130.0220000003</v>
      </c>
      <c r="L957" s="172">
        <f t="shared" ref="L957" si="402">SUM(L950:L956)</f>
        <v>3922137.82332</v>
      </c>
    </row>
    <row r="958" spans="1:12" s="3" customFormat="1" ht="15" x14ac:dyDescent="0.25">
      <c r="A958" s="18"/>
      <c r="B958" s="19"/>
      <c r="C958" s="28"/>
      <c r="D958" s="21"/>
      <c r="E958" s="20"/>
      <c r="F958" s="21"/>
      <c r="G958" s="20"/>
      <c r="H958" s="21"/>
      <c r="I958" s="238"/>
      <c r="J958" s="168"/>
      <c r="K958" s="178"/>
      <c r="L958" s="168"/>
    </row>
    <row r="959" spans="1:12" s="3" customFormat="1" ht="15" x14ac:dyDescent="0.25">
      <c r="A959" s="18"/>
      <c r="B959" s="19" t="s">
        <v>73</v>
      </c>
      <c r="C959" s="28">
        <f>C946+C957</f>
        <v>15942563</v>
      </c>
      <c r="D959" s="36">
        <f t="shared" ref="D959:G959" si="403">D946+D957</f>
        <v>1229430.46</v>
      </c>
      <c r="E959" s="28">
        <f t="shared" si="403"/>
        <v>0</v>
      </c>
      <c r="F959" s="36">
        <f t="shared" si="403"/>
        <v>7635078.5200000005</v>
      </c>
      <c r="G959" s="28">
        <f t="shared" si="403"/>
        <v>8307484.4799999995</v>
      </c>
      <c r="H959" s="21">
        <v>47.89</v>
      </c>
      <c r="I959" s="243">
        <f t="shared" ref="I959:L959" si="404">I946+I957</f>
        <v>109767.90000000001</v>
      </c>
      <c r="J959" s="172">
        <f t="shared" si="404"/>
        <v>16052330.899999999</v>
      </c>
      <c r="K959" s="236">
        <f t="shared" si="404"/>
        <v>16909470.754000001</v>
      </c>
      <c r="L959" s="172">
        <f t="shared" si="404"/>
        <v>17924038.99924</v>
      </c>
    </row>
    <row r="960" spans="1:12" s="3" customFormat="1" ht="15" x14ac:dyDescent="0.25">
      <c r="A960" s="18"/>
      <c r="B960" s="19"/>
      <c r="C960" s="28"/>
      <c r="D960" s="21"/>
      <c r="E960" s="20"/>
      <c r="F960" s="21"/>
      <c r="G960" s="20"/>
      <c r="H960" s="21"/>
      <c r="I960" s="238"/>
      <c r="J960" s="168"/>
      <c r="K960" s="178"/>
      <c r="L960" s="168"/>
    </row>
    <row r="961" spans="1:12" s="3" customFormat="1" ht="15" x14ac:dyDescent="0.25">
      <c r="A961" s="18"/>
      <c r="B961" s="19" t="s">
        <v>74</v>
      </c>
      <c r="C961" s="28"/>
      <c r="D961" s="21"/>
      <c r="E961" s="20"/>
      <c r="F961" s="21"/>
      <c r="G961" s="20"/>
      <c r="H961" s="21"/>
      <c r="I961" s="238"/>
      <c r="J961" s="168"/>
      <c r="K961" s="178"/>
      <c r="L961" s="168"/>
    </row>
    <row r="962" spans="1:12" s="3" customFormat="1" ht="15" x14ac:dyDescent="0.25">
      <c r="A962" s="18"/>
      <c r="B962" s="19"/>
      <c r="C962" s="28"/>
      <c r="D962" s="21"/>
      <c r="E962" s="20"/>
      <c r="F962" s="21"/>
      <c r="G962" s="20"/>
      <c r="H962" s="21"/>
      <c r="I962" s="238"/>
      <c r="J962" s="168"/>
      <c r="K962" s="178"/>
      <c r="L962" s="168"/>
    </row>
    <row r="963" spans="1:12" s="3" customFormat="1" ht="15" x14ac:dyDescent="0.25">
      <c r="A963" s="18"/>
      <c r="B963" s="19" t="s">
        <v>75</v>
      </c>
      <c r="C963" s="28"/>
      <c r="D963" s="21"/>
      <c r="E963" s="20"/>
      <c r="F963" s="21"/>
      <c r="G963" s="20"/>
      <c r="H963" s="21"/>
      <c r="I963" s="238"/>
      <c r="J963" s="168"/>
      <c r="K963" s="178"/>
      <c r="L963" s="168"/>
    </row>
    <row r="964" spans="1:12" s="3" customFormat="1" ht="15" x14ac:dyDescent="0.25">
      <c r="A964" s="18"/>
      <c r="B964" s="19"/>
      <c r="C964" s="28"/>
      <c r="D964" s="21"/>
      <c r="E964" s="20"/>
      <c r="F964" s="21"/>
      <c r="G964" s="20"/>
      <c r="H964" s="21"/>
      <c r="I964" s="238"/>
      <c r="J964" s="168"/>
      <c r="K964" s="178"/>
      <c r="L964" s="168"/>
    </row>
    <row r="965" spans="1:12" x14ac:dyDescent="0.2">
      <c r="A965" s="5" t="s">
        <v>798</v>
      </c>
      <c r="B965" s="7" t="s">
        <v>77</v>
      </c>
      <c r="C965" s="29">
        <v>44478</v>
      </c>
      <c r="D965" s="11">
        <v>0</v>
      </c>
      <c r="E965" s="9">
        <v>0</v>
      </c>
      <c r="F965" s="11">
        <v>30406.84</v>
      </c>
      <c r="G965" s="9">
        <f t="shared" ref="G965:G985" si="405">C965-E965-F965</f>
        <v>14071.16</v>
      </c>
      <c r="H965" s="11">
        <v>68.36</v>
      </c>
      <c r="I965" s="240">
        <f>'Community services'!I45</f>
        <v>10000</v>
      </c>
      <c r="J965" s="109">
        <f>'Community services'!J45</f>
        <v>54478</v>
      </c>
      <c r="K965" s="229">
        <f>'Community services'!K45</f>
        <v>57746.68</v>
      </c>
      <c r="L965" s="109">
        <f>'Community services'!L45</f>
        <v>61211.480799999998</v>
      </c>
    </row>
    <row r="966" spans="1:12" x14ac:dyDescent="0.2">
      <c r="A966" s="5" t="s">
        <v>799</v>
      </c>
      <c r="B966" s="7" t="s">
        <v>97</v>
      </c>
      <c r="C966" s="29">
        <v>250000</v>
      </c>
      <c r="D966" s="11">
        <v>0</v>
      </c>
      <c r="E966" s="9">
        <v>0</v>
      </c>
      <c r="F966" s="11">
        <v>0</v>
      </c>
      <c r="G966" s="9">
        <f t="shared" si="405"/>
        <v>250000</v>
      </c>
      <c r="H966" s="11">
        <v>0</v>
      </c>
      <c r="I966" s="240">
        <f>'Community services'!I46</f>
        <v>0</v>
      </c>
      <c r="J966" s="109">
        <f>'Community services'!J46</f>
        <v>250000</v>
      </c>
      <c r="K966" s="229">
        <f>'Community services'!K46</f>
        <v>0</v>
      </c>
      <c r="L966" s="109">
        <f>'Community services'!L46</f>
        <v>0</v>
      </c>
    </row>
    <row r="967" spans="1:12" x14ac:dyDescent="0.2">
      <c r="A967" s="5" t="s">
        <v>800</v>
      </c>
      <c r="B967" s="7" t="s">
        <v>99</v>
      </c>
      <c r="C967" s="29">
        <v>0</v>
      </c>
      <c r="D967" s="11">
        <v>0</v>
      </c>
      <c r="E967" s="9">
        <v>0</v>
      </c>
      <c r="F967" s="11">
        <v>0</v>
      </c>
      <c r="G967" s="9">
        <f t="shared" si="405"/>
        <v>0</v>
      </c>
      <c r="H967" s="11">
        <v>0</v>
      </c>
      <c r="I967" s="240">
        <f>'Community services'!I47</f>
        <v>0</v>
      </c>
      <c r="J967" s="109">
        <f>'Community services'!J47</f>
        <v>0</v>
      </c>
      <c r="K967" s="229">
        <f>'Community services'!K47</f>
        <v>0</v>
      </c>
      <c r="L967" s="109">
        <f>'Community services'!L47</f>
        <v>0</v>
      </c>
    </row>
    <row r="968" spans="1:12" x14ac:dyDescent="0.2">
      <c r="A968" s="5" t="s">
        <v>801</v>
      </c>
      <c r="B968" s="7" t="s">
        <v>108</v>
      </c>
      <c r="C968" s="29">
        <v>0</v>
      </c>
      <c r="D968" s="11">
        <v>0</v>
      </c>
      <c r="E968" s="9">
        <v>0</v>
      </c>
      <c r="F968" s="11">
        <v>123015</v>
      </c>
      <c r="G968" s="9">
        <f t="shared" si="405"/>
        <v>-123015</v>
      </c>
      <c r="H968" s="11">
        <v>0</v>
      </c>
      <c r="I968" s="240">
        <f>'Community services'!I48</f>
        <v>142810</v>
      </c>
      <c r="J968" s="109">
        <f>'Community services'!J48</f>
        <v>142810</v>
      </c>
      <c r="K968" s="229">
        <f>'Community services'!K48</f>
        <v>0</v>
      </c>
      <c r="L968" s="109">
        <f>'Community services'!L48</f>
        <v>0</v>
      </c>
    </row>
    <row r="969" spans="1:12" x14ac:dyDescent="0.2">
      <c r="A969" s="5" t="s">
        <v>802</v>
      </c>
      <c r="B969" s="7" t="s">
        <v>122</v>
      </c>
      <c r="C969" s="29">
        <v>50000</v>
      </c>
      <c r="D969" s="11">
        <v>0</v>
      </c>
      <c r="E969" s="9">
        <v>0</v>
      </c>
      <c r="F969" s="11">
        <v>0</v>
      </c>
      <c r="G969" s="9">
        <f t="shared" si="405"/>
        <v>50000</v>
      </c>
      <c r="H969" s="11">
        <v>0</v>
      </c>
      <c r="I969" s="240">
        <f>'Community services'!I49</f>
        <v>-40000</v>
      </c>
      <c r="J969" s="109">
        <f>'Community services'!J49</f>
        <v>10000</v>
      </c>
      <c r="K969" s="229">
        <f>'Community services'!K49</f>
        <v>10600</v>
      </c>
      <c r="L969" s="109">
        <f>'Community services'!L49</f>
        <v>11236</v>
      </c>
    </row>
    <row r="970" spans="1:12" x14ac:dyDescent="0.2">
      <c r="A970" s="5" t="s">
        <v>803</v>
      </c>
      <c r="B970" s="7" t="s">
        <v>128</v>
      </c>
      <c r="C970" s="29">
        <v>70000</v>
      </c>
      <c r="D970" s="11">
        <v>0</v>
      </c>
      <c r="E970" s="9">
        <v>0</v>
      </c>
      <c r="F970" s="11">
        <v>4088.15</v>
      </c>
      <c r="G970" s="9">
        <f t="shared" si="405"/>
        <v>65911.850000000006</v>
      </c>
      <c r="H970" s="11">
        <v>5.84</v>
      </c>
      <c r="I970" s="240">
        <f>'Community services'!I50</f>
        <v>-60000</v>
      </c>
      <c r="J970" s="109">
        <f>'Community services'!J50</f>
        <v>10000</v>
      </c>
      <c r="K970" s="229">
        <f>'Community services'!K50</f>
        <v>10600</v>
      </c>
      <c r="L970" s="109">
        <f>'Community services'!L50</f>
        <v>11236</v>
      </c>
    </row>
    <row r="971" spans="1:12" x14ac:dyDescent="0.2">
      <c r="A971" s="5" t="s">
        <v>804</v>
      </c>
      <c r="B971" s="7" t="s">
        <v>137</v>
      </c>
      <c r="C971" s="29">
        <v>131816</v>
      </c>
      <c r="D971" s="11">
        <v>24694.06</v>
      </c>
      <c r="E971" s="9">
        <v>0</v>
      </c>
      <c r="F971" s="11">
        <v>107325.72</v>
      </c>
      <c r="G971" s="9">
        <f t="shared" si="405"/>
        <v>24490.28</v>
      </c>
      <c r="H971" s="11">
        <v>81.42</v>
      </c>
      <c r="I971" s="240">
        <f>'Community services'!I51</f>
        <v>60000</v>
      </c>
      <c r="J971" s="109">
        <f>'Community services'!J51</f>
        <v>191816</v>
      </c>
      <c r="K971" s="229">
        <f>'Community services'!K51</f>
        <v>203324.96</v>
      </c>
      <c r="L971" s="109">
        <f>'Community services'!L51</f>
        <v>215524.45759999999</v>
      </c>
    </row>
    <row r="972" spans="1:12" x14ac:dyDescent="0.2">
      <c r="A972" s="5" t="s">
        <v>805</v>
      </c>
      <c r="B972" s="7" t="s">
        <v>139</v>
      </c>
      <c r="C972" s="29">
        <v>13386</v>
      </c>
      <c r="D972" s="11">
        <v>1144</v>
      </c>
      <c r="E972" s="9">
        <v>0</v>
      </c>
      <c r="F972" s="11">
        <v>2864.57</v>
      </c>
      <c r="G972" s="9">
        <f t="shared" si="405"/>
        <v>10521.43</v>
      </c>
      <c r="H972" s="11">
        <v>21.39</v>
      </c>
      <c r="I972" s="240">
        <f>'Community services'!I52</f>
        <v>0</v>
      </c>
      <c r="J972" s="109">
        <f>'Community services'!J52</f>
        <v>13386</v>
      </c>
      <c r="K972" s="229">
        <f>'Community services'!K52</f>
        <v>14189.16</v>
      </c>
      <c r="L972" s="109">
        <f>'Community services'!L52</f>
        <v>15040.509599999999</v>
      </c>
    </row>
    <row r="973" spans="1:12" x14ac:dyDescent="0.2">
      <c r="A973" s="5" t="s">
        <v>806</v>
      </c>
      <c r="B973" s="7" t="s">
        <v>173</v>
      </c>
      <c r="C973" s="29">
        <v>50000</v>
      </c>
      <c r="D973" s="11">
        <v>1253.94</v>
      </c>
      <c r="E973" s="9">
        <v>0</v>
      </c>
      <c r="F973" s="11">
        <v>6795.46</v>
      </c>
      <c r="G973" s="9">
        <f t="shared" si="405"/>
        <v>43204.54</v>
      </c>
      <c r="H973" s="11">
        <v>13.59</v>
      </c>
      <c r="I973" s="240">
        <f>'Community services'!I53</f>
        <v>0</v>
      </c>
      <c r="J973" s="109">
        <f>'Community services'!J53</f>
        <v>50000</v>
      </c>
      <c r="K973" s="229">
        <f>'Community services'!K53</f>
        <v>53000</v>
      </c>
      <c r="L973" s="109">
        <f>'Community services'!L53</f>
        <v>56180</v>
      </c>
    </row>
    <row r="974" spans="1:12" x14ac:dyDescent="0.2">
      <c r="A974" s="5" t="s">
        <v>807</v>
      </c>
      <c r="B974" s="7" t="s">
        <v>187</v>
      </c>
      <c r="C974" s="29">
        <v>2500</v>
      </c>
      <c r="D974" s="11">
        <v>0</v>
      </c>
      <c r="E974" s="9">
        <v>0</v>
      </c>
      <c r="F974" s="11">
        <v>0</v>
      </c>
      <c r="G974" s="9">
        <f t="shared" si="405"/>
        <v>2500</v>
      </c>
      <c r="H974" s="11">
        <v>0</v>
      </c>
      <c r="I974" s="240">
        <f>'Community services'!I54</f>
        <v>0</v>
      </c>
      <c r="J974" s="109">
        <f>'Community services'!J54</f>
        <v>2500</v>
      </c>
      <c r="K974" s="229">
        <f>'Community services'!K54</f>
        <v>2650</v>
      </c>
      <c r="L974" s="109">
        <f>'Community services'!L54</f>
        <v>2809</v>
      </c>
    </row>
    <row r="975" spans="1:12" x14ac:dyDescent="0.2">
      <c r="A975" s="5" t="s">
        <v>808</v>
      </c>
      <c r="B975" s="7" t="s">
        <v>205</v>
      </c>
      <c r="C975" s="29">
        <v>95220</v>
      </c>
      <c r="D975" s="11">
        <v>0</v>
      </c>
      <c r="E975" s="9">
        <v>0</v>
      </c>
      <c r="F975" s="11">
        <v>0</v>
      </c>
      <c r="G975" s="9">
        <f t="shared" si="405"/>
        <v>95220</v>
      </c>
      <c r="H975" s="11">
        <v>0</v>
      </c>
      <c r="I975" s="240">
        <f>'Community services'!I55</f>
        <v>-95220</v>
      </c>
      <c r="J975" s="109">
        <f>'Community services'!J55</f>
        <v>0</v>
      </c>
      <c r="K975" s="229">
        <f>'Community services'!K55</f>
        <v>100457.1</v>
      </c>
      <c r="L975" s="109">
        <f>'Community services'!L55</f>
        <v>106484.52600000001</v>
      </c>
    </row>
    <row r="976" spans="1:12" x14ac:dyDescent="0.2">
      <c r="A976" s="5" t="s">
        <v>809</v>
      </c>
      <c r="B976" s="7" t="s">
        <v>209</v>
      </c>
      <c r="C976" s="29">
        <v>21160</v>
      </c>
      <c r="D976" s="11">
        <v>0</v>
      </c>
      <c r="E976" s="9">
        <v>0</v>
      </c>
      <c r="F976" s="11">
        <v>0</v>
      </c>
      <c r="G976" s="9">
        <f t="shared" si="405"/>
        <v>21160</v>
      </c>
      <c r="H976" s="11">
        <v>0</v>
      </c>
      <c r="I976" s="240">
        <f>'Community services'!I56</f>
        <v>0</v>
      </c>
      <c r="J976" s="109">
        <f>'Community services'!J56</f>
        <v>21160</v>
      </c>
      <c r="K976" s="229">
        <f>'Community services'!K56</f>
        <v>22429.599999999999</v>
      </c>
      <c r="L976" s="109">
        <f>'Community services'!L56</f>
        <v>23775.375999999997</v>
      </c>
    </row>
    <row r="977" spans="1:12" x14ac:dyDescent="0.2">
      <c r="A977" s="5" t="s">
        <v>810</v>
      </c>
      <c r="B977" s="7" t="s">
        <v>217</v>
      </c>
      <c r="C977" s="29">
        <v>2000</v>
      </c>
      <c r="D977" s="11">
        <v>0</v>
      </c>
      <c r="E977" s="9">
        <v>0</v>
      </c>
      <c r="F977" s="11">
        <v>0</v>
      </c>
      <c r="G977" s="9">
        <f t="shared" si="405"/>
        <v>2000</v>
      </c>
      <c r="H977" s="11">
        <v>0</v>
      </c>
      <c r="I977" s="240">
        <f>'Community services'!I57</f>
        <v>0</v>
      </c>
      <c r="J977" s="109">
        <f>'Community services'!J57</f>
        <v>2000</v>
      </c>
      <c r="K977" s="229">
        <f>'Community services'!K57</f>
        <v>2120</v>
      </c>
      <c r="L977" s="109">
        <f>'Community services'!L57</f>
        <v>2247.1999999999998</v>
      </c>
    </row>
    <row r="978" spans="1:12" x14ac:dyDescent="0.2">
      <c r="A978" s="5" t="s">
        <v>811</v>
      </c>
      <c r="B978" s="7" t="s">
        <v>775</v>
      </c>
      <c r="C978" s="29">
        <v>0</v>
      </c>
      <c r="D978" s="11">
        <v>0</v>
      </c>
      <c r="E978" s="9">
        <v>0</v>
      </c>
      <c r="F978" s="11">
        <v>0</v>
      </c>
      <c r="G978" s="9">
        <f t="shared" si="405"/>
        <v>0</v>
      </c>
      <c r="H978" s="11">
        <v>0</v>
      </c>
      <c r="I978" s="240">
        <f>'Community services'!I58</f>
        <v>0</v>
      </c>
      <c r="J978" s="109">
        <f>'Community services'!J58</f>
        <v>0</v>
      </c>
      <c r="K978" s="229">
        <f>'Community services'!K58</f>
        <v>0</v>
      </c>
      <c r="L978" s="109">
        <f>'Community services'!L58</f>
        <v>0</v>
      </c>
    </row>
    <row r="979" spans="1:12" x14ac:dyDescent="0.2">
      <c r="A979" s="5" t="s">
        <v>812</v>
      </c>
      <c r="B979" s="7" t="s">
        <v>236</v>
      </c>
      <c r="C979" s="29">
        <v>37030</v>
      </c>
      <c r="D979" s="11">
        <v>2211.7800000000002</v>
      </c>
      <c r="E979" s="9">
        <v>0</v>
      </c>
      <c r="F979" s="11">
        <v>4729.43</v>
      </c>
      <c r="G979" s="9">
        <f t="shared" si="405"/>
        <v>32300.57</v>
      </c>
      <c r="H979" s="11">
        <v>12.77</v>
      </c>
      <c r="I979" s="240">
        <f>'Community services'!I59</f>
        <v>10000</v>
      </c>
      <c r="J979" s="109">
        <f>'Community services'!J59</f>
        <v>47030</v>
      </c>
      <c r="K979" s="229">
        <f>'Community services'!K59</f>
        <v>49851.8</v>
      </c>
      <c r="L979" s="109">
        <f>'Community services'!L59</f>
        <v>52842.908000000003</v>
      </c>
    </row>
    <row r="980" spans="1:12" x14ac:dyDescent="0.2">
      <c r="A980" s="5" t="s">
        <v>813</v>
      </c>
      <c r="B980" s="7" t="s">
        <v>240</v>
      </c>
      <c r="C980" s="29">
        <v>22509</v>
      </c>
      <c r="D980" s="11">
        <v>4000</v>
      </c>
      <c r="E980" s="9">
        <v>7500</v>
      </c>
      <c r="F980" s="11">
        <v>4000</v>
      </c>
      <c r="G980" s="9">
        <f t="shared" si="405"/>
        <v>11009</v>
      </c>
      <c r="H980" s="11">
        <v>17.77</v>
      </c>
      <c r="I980" s="240">
        <f>'Community services'!I60</f>
        <v>0</v>
      </c>
      <c r="J980" s="109">
        <f>'Community services'!J60</f>
        <v>22509</v>
      </c>
      <c r="K980" s="229">
        <f>'Community services'!K60</f>
        <v>23859.54</v>
      </c>
      <c r="L980" s="109">
        <f>'Community services'!L60</f>
        <v>25291.112400000002</v>
      </c>
    </row>
    <row r="981" spans="1:12" x14ac:dyDescent="0.2">
      <c r="A981" s="5" t="s">
        <v>814</v>
      </c>
      <c r="B981" s="7" t="s">
        <v>243</v>
      </c>
      <c r="C981" s="29">
        <v>0</v>
      </c>
      <c r="D981" s="11">
        <v>0</v>
      </c>
      <c r="E981" s="9">
        <v>0</v>
      </c>
      <c r="F981" s="11">
        <v>0</v>
      </c>
      <c r="G981" s="9">
        <f t="shared" si="405"/>
        <v>0</v>
      </c>
      <c r="H981" s="11">
        <v>0</v>
      </c>
      <c r="I981" s="240">
        <f>'Community services'!I61</f>
        <v>0</v>
      </c>
      <c r="J981" s="109">
        <f>'Community services'!J61</f>
        <v>0</v>
      </c>
      <c r="K981" s="229">
        <f>'Community services'!K61</f>
        <v>0</v>
      </c>
      <c r="L981" s="109">
        <f>'Community services'!L61</f>
        <v>0</v>
      </c>
    </row>
    <row r="982" spans="1:12" x14ac:dyDescent="0.2">
      <c r="A982" s="5" t="s">
        <v>815</v>
      </c>
      <c r="B982" s="7" t="s">
        <v>254</v>
      </c>
      <c r="C982" s="29">
        <v>0</v>
      </c>
      <c r="D982" s="11">
        <v>0</v>
      </c>
      <c r="E982" s="9">
        <v>0</v>
      </c>
      <c r="F982" s="11">
        <v>0</v>
      </c>
      <c r="G982" s="9">
        <f t="shared" si="405"/>
        <v>0</v>
      </c>
      <c r="H982" s="11">
        <v>0</v>
      </c>
      <c r="I982" s="240">
        <f>'Community services'!I62</f>
        <v>0</v>
      </c>
      <c r="J982" s="109">
        <f>'Community services'!J62</f>
        <v>0</v>
      </c>
      <c r="K982" s="229">
        <f>'Community services'!K62</f>
        <v>0</v>
      </c>
      <c r="L982" s="109">
        <f>'Community services'!L62</f>
        <v>0</v>
      </c>
    </row>
    <row r="983" spans="1:12" x14ac:dyDescent="0.2">
      <c r="A983" s="5" t="s">
        <v>816</v>
      </c>
      <c r="B983" s="7" t="s">
        <v>260</v>
      </c>
      <c r="C983" s="29">
        <v>0</v>
      </c>
      <c r="D983" s="11">
        <v>0</v>
      </c>
      <c r="E983" s="9">
        <v>0</v>
      </c>
      <c r="F983" s="11">
        <v>0</v>
      </c>
      <c r="G983" s="9">
        <f t="shared" si="405"/>
        <v>0</v>
      </c>
      <c r="H983" s="11">
        <v>0</v>
      </c>
      <c r="I983" s="240">
        <f>'Community services'!I63</f>
        <v>0</v>
      </c>
      <c r="J983" s="109">
        <f>'Community services'!J63</f>
        <v>0</v>
      </c>
      <c r="K983" s="229">
        <f>'Community services'!K63</f>
        <v>0</v>
      </c>
      <c r="L983" s="109">
        <f>'Community services'!L63</f>
        <v>0</v>
      </c>
    </row>
    <row r="984" spans="1:12" x14ac:dyDescent="0.2">
      <c r="A984" s="5" t="s">
        <v>817</v>
      </c>
      <c r="B984" s="7" t="s">
        <v>262</v>
      </c>
      <c r="C984" s="29">
        <v>15000</v>
      </c>
      <c r="D984" s="11">
        <v>0</v>
      </c>
      <c r="E984" s="9">
        <v>0</v>
      </c>
      <c r="F984" s="11">
        <v>0</v>
      </c>
      <c r="G984" s="9">
        <f t="shared" si="405"/>
        <v>15000</v>
      </c>
      <c r="H984" s="11">
        <v>0</v>
      </c>
      <c r="I984" s="240">
        <f>'Community services'!I64</f>
        <v>-10000</v>
      </c>
      <c r="J984" s="109">
        <f>'Community services'!J64</f>
        <v>5000</v>
      </c>
      <c r="K984" s="229">
        <f>'Community services'!K64</f>
        <v>5300</v>
      </c>
      <c r="L984" s="109">
        <f>'Community services'!L64</f>
        <v>5618</v>
      </c>
    </row>
    <row r="985" spans="1:12" x14ac:dyDescent="0.2">
      <c r="A985" s="5" t="s">
        <v>818</v>
      </c>
      <c r="B985" s="7" t="s">
        <v>275</v>
      </c>
      <c r="C985" s="29">
        <v>500000</v>
      </c>
      <c r="D985" s="11">
        <v>50480</v>
      </c>
      <c r="E985" s="9">
        <v>48850</v>
      </c>
      <c r="F985" s="11">
        <v>283830</v>
      </c>
      <c r="G985" s="9">
        <f t="shared" si="405"/>
        <v>167320</v>
      </c>
      <c r="H985" s="11">
        <v>56.76</v>
      </c>
      <c r="I985" s="240">
        <f>'Community services'!I65</f>
        <v>0</v>
      </c>
      <c r="J985" s="109">
        <f>'Community services'!J65</f>
        <v>500000</v>
      </c>
      <c r="K985" s="229">
        <f>'Community services'!K65</f>
        <v>0</v>
      </c>
      <c r="L985" s="109">
        <f>'Community services'!L65</f>
        <v>0</v>
      </c>
    </row>
    <row r="986" spans="1:12" x14ac:dyDescent="0.2">
      <c r="A986" s="5"/>
      <c r="B986" s="7"/>
      <c r="C986" s="29"/>
      <c r="D986" s="11"/>
      <c r="E986" s="9"/>
      <c r="F986" s="11"/>
      <c r="G986" s="9"/>
      <c r="H986" s="11"/>
      <c r="I986" s="240"/>
      <c r="J986" s="162"/>
      <c r="K986" s="169"/>
      <c r="L986" s="162"/>
    </row>
    <row r="987" spans="1:12" s="3" customFormat="1" ht="15" x14ac:dyDescent="0.25">
      <c r="A987" s="18"/>
      <c r="B987" s="19" t="s">
        <v>287</v>
      </c>
      <c r="C987" s="28">
        <f>SUM(C965:C986)</f>
        <v>1305099</v>
      </c>
      <c r="D987" s="36">
        <f t="shared" ref="D987:G987" si="406">SUM(D965:D986)</f>
        <v>83783.78</v>
      </c>
      <c r="E987" s="28">
        <f t="shared" si="406"/>
        <v>56350</v>
      </c>
      <c r="F987" s="36">
        <f t="shared" si="406"/>
        <v>567055.16999999993</v>
      </c>
      <c r="G987" s="28">
        <f t="shared" si="406"/>
        <v>681693.83</v>
      </c>
      <c r="H987" s="21">
        <v>43.44</v>
      </c>
      <c r="I987" s="243">
        <f t="shared" ref="I987" si="407">SUM(I965:I986)</f>
        <v>17590</v>
      </c>
      <c r="J987" s="172">
        <f t="shared" ref="J987" si="408">SUM(J965:J986)</f>
        <v>1322689</v>
      </c>
      <c r="K987" s="236">
        <f t="shared" ref="K987" si="409">SUM(K965:K986)</f>
        <v>556128.84000000008</v>
      </c>
      <c r="L987" s="172">
        <f t="shared" ref="L987" si="410">SUM(L965:L986)</f>
        <v>589496.57039999997</v>
      </c>
    </row>
    <row r="988" spans="1:12" s="3" customFormat="1" ht="15" x14ac:dyDescent="0.25">
      <c r="A988" s="18"/>
      <c r="B988" s="19"/>
      <c r="C988" s="28"/>
      <c r="D988" s="21"/>
      <c r="E988" s="20"/>
      <c r="F988" s="21"/>
      <c r="G988" s="20"/>
      <c r="H988" s="21"/>
      <c r="I988" s="238"/>
      <c r="J988" s="168"/>
      <c r="K988" s="178"/>
      <c r="L988" s="168"/>
    </row>
    <row r="989" spans="1:12" s="3" customFormat="1" ht="15" x14ac:dyDescent="0.25">
      <c r="A989" s="18"/>
      <c r="B989" s="19" t="s">
        <v>292</v>
      </c>
      <c r="C989" s="28">
        <f>C987</f>
        <v>1305099</v>
      </c>
      <c r="D989" s="36">
        <f t="shared" ref="D989:L989" si="411">D987</f>
        <v>83783.78</v>
      </c>
      <c r="E989" s="28">
        <f t="shared" si="411"/>
        <v>56350</v>
      </c>
      <c r="F989" s="36">
        <f t="shared" si="411"/>
        <v>567055.16999999993</v>
      </c>
      <c r="G989" s="28">
        <f t="shared" si="411"/>
        <v>681693.83</v>
      </c>
      <c r="H989" s="21">
        <v>43.44</v>
      </c>
      <c r="I989" s="243">
        <f t="shared" si="411"/>
        <v>17590</v>
      </c>
      <c r="J989" s="172">
        <f t="shared" si="411"/>
        <v>1322689</v>
      </c>
      <c r="K989" s="236">
        <f t="shared" si="411"/>
        <v>556128.84000000008</v>
      </c>
      <c r="L989" s="172">
        <f t="shared" si="411"/>
        <v>589496.57039999997</v>
      </c>
    </row>
    <row r="990" spans="1:12" s="3" customFormat="1" ht="15" x14ac:dyDescent="0.25">
      <c r="A990" s="18"/>
      <c r="B990" s="19"/>
      <c r="C990" s="28"/>
      <c r="D990" s="21"/>
      <c r="E990" s="20"/>
      <c r="F990" s="21"/>
      <c r="G990" s="20"/>
      <c r="H990" s="21"/>
      <c r="I990" s="238"/>
      <c r="J990" s="168"/>
      <c r="K990" s="178"/>
      <c r="L990" s="168"/>
    </row>
    <row r="991" spans="1:12" s="3" customFormat="1" ht="15" x14ac:dyDescent="0.25">
      <c r="A991" s="18"/>
      <c r="B991" s="19" t="s">
        <v>293</v>
      </c>
      <c r="C991" s="28"/>
      <c r="D991" s="21"/>
      <c r="E991" s="20"/>
      <c r="F991" s="21"/>
      <c r="G991" s="20"/>
      <c r="H991" s="21"/>
      <c r="I991" s="238"/>
      <c r="J991" s="168"/>
      <c r="K991" s="178"/>
      <c r="L991" s="168"/>
    </row>
    <row r="992" spans="1:12" s="3" customFormat="1" ht="15" x14ac:dyDescent="0.25">
      <c r="A992" s="18"/>
      <c r="B992" s="19"/>
      <c r="C992" s="28"/>
      <c r="D992" s="21"/>
      <c r="E992" s="20"/>
      <c r="F992" s="21"/>
      <c r="G992" s="20"/>
      <c r="H992" s="21"/>
      <c r="I992" s="238"/>
      <c r="J992" s="168"/>
      <c r="K992" s="178"/>
      <c r="L992" s="168"/>
    </row>
    <row r="993" spans="1:12" x14ac:dyDescent="0.2">
      <c r="A993" s="5" t="s">
        <v>819</v>
      </c>
      <c r="B993" s="7" t="s">
        <v>296</v>
      </c>
      <c r="C993" s="29">
        <v>0</v>
      </c>
      <c r="D993" s="11">
        <v>0</v>
      </c>
      <c r="E993" s="9">
        <v>0</v>
      </c>
      <c r="F993" s="11">
        <v>0</v>
      </c>
      <c r="G993" s="9">
        <f t="shared" ref="G993:G995" si="412">C993-E993-F993</f>
        <v>0</v>
      </c>
      <c r="H993" s="11">
        <v>0</v>
      </c>
      <c r="I993" s="240">
        <f>'Community services'!I73</f>
        <v>0</v>
      </c>
      <c r="J993" s="162">
        <f t="shared" ref="J993" si="413">C993+I993</f>
        <v>0</v>
      </c>
      <c r="K993" s="169"/>
      <c r="L993" s="162"/>
    </row>
    <row r="994" spans="1:12" x14ac:dyDescent="0.2">
      <c r="A994" s="5" t="s">
        <v>820</v>
      </c>
      <c r="B994" s="7" t="s">
        <v>298</v>
      </c>
      <c r="C994" s="29">
        <v>77795</v>
      </c>
      <c r="D994" s="11">
        <v>13484.1</v>
      </c>
      <c r="E994" s="9">
        <v>5683.86</v>
      </c>
      <c r="F994" s="11">
        <v>67420.5</v>
      </c>
      <c r="G994" s="9">
        <f t="shared" si="412"/>
        <v>4690.6399999999994</v>
      </c>
      <c r="H994" s="11">
        <v>86.66</v>
      </c>
      <c r="I994" s="240">
        <f>'Community services'!I74</f>
        <v>94500</v>
      </c>
      <c r="J994" s="109">
        <f>'Community services'!J74</f>
        <v>172295</v>
      </c>
      <c r="K994" s="229">
        <f>'Community services'!K74</f>
        <v>182632.7</v>
      </c>
      <c r="L994" s="109">
        <f>'Community services'!L74</f>
        <v>193590.66200000001</v>
      </c>
    </row>
    <row r="995" spans="1:12" x14ac:dyDescent="0.2">
      <c r="A995" s="5" t="s">
        <v>821</v>
      </c>
      <c r="B995" s="7" t="s">
        <v>822</v>
      </c>
      <c r="C995" s="29">
        <v>50000</v>
      </c>
      <c r="D995" s="11">
        <v>0</v>
      </c>
      <c r="E995" s="9">
        <v>0</v>
      </c>
      <c r="F995" s="11">
        <v>146.5</v>
      </c>
      <c r="G995" s="9">
        <f t="shared" si="412"/>
        <v>49853.5</v>
      </c>
      <c r="H995" s="11">
        <v>0.28999999999999998</v>
      </c>
      <c r="I995" s="240">
        <f>'Community services'!I75</f>
        <v>-49500</v>
      </c>
      <c r="J995" s="109">
        <f>'Community services'!J75</f>
        <v>500</v>
      </c>
      <c r="K995" s="229">
        <f>'Community services'!K75</f>
        <v>530</v>
      </c>
      <c r="L995" s="109">
        <f>'Community services'!L75</f>
        <v>561.79999999999995</v>
      </c>
    </row>
    <row r="996" spans="1:12" x14ac:dyDescent="0.2">
      <c r="A996" s="5"/>
      <c r="B996" s="7"/>
      <c r="C996" s="29"/>
      <c r="D996" s="11"/>
      <c r="E996" s="9"/>
      <c r="F996" s="11"/>
      <c r="G996" s="9"/>
      <c r="H996" s="11"/>
      <c r="I996" s="240"/>
      <c r="J996" s="162"/>
      <c r="K996" s="169"/>
      <c r="L996" s="162"/>
    </row>
    <row r="997" spans="1:12" s="3" customFormat="1" ht="15" x14ac:dyDescent="0.25">
      <c r="A997" s="18"/>
      <c r="B997" s="19" t="s">
        <v>1003</v>
      </c>
      <c r="C997" s="28">
        <f>SUM(C993:C996)</f>
        <v>127795</v>
      </c>
      <c r="D997" s="36">
        <f t="shared" ref="D997:G997" si="414">SUM(D993:D996)</f>
        <v>13484.1</v>
      </c>
      <c r="E997" s="28">
        <f t="shared" si="414"/>
        <v>5683.86</v>
      </c>
      <c r="F997" s="36">
        <f t="shared" si="414"/>
        <v>67567</v>
      </c>
      <c r="G997" s="28">
        <f t="shared" si="414"/>
        <v>54544.14</v>
      </c>
      <c r="H997" s="21">
        <v>52.87</v>
      </c>
      <c r="I997" s="243">
        <f t="shared" ref="I997" si="415">SUM(I993:I996)</f>
        <v>45000</v>
      </c>
      <c r="J997" s="172">
        <f t="shared" ref="J997" si="416">SUM(J993:J996)</f>
        <v>172795</v>
      </c>
      <c r="K997" s="236">
        <f t="shared" ref="K997" si="417">SUM(K993:K996)</f>
        <v>183162.7</v>
      </c>
      <c r="L997" s="172">
        <f t="shared" ref="L997" si="418">SUM(L993:L996)</f>
        <v>194152.462</v>
      </c>
    </row>
    <row r="998" spans="1:12" x14ac:dyDescent="0.2">
      <c r="A998" s="5"/>
      <c r="B998" s="7"/>
      <c r="C998" s="29"/>
      <c r="D998" s="11"/>
      <c r="E998" s="9"/>
      <c r="F998" s="11"/>
      <c r="G998" s="9"/>
      <c r="H998" s="11"/>
      <c r="I998" s="240"/>
      <c r="J998" s="162"/>
      <c r="K998" s="169"/>
      <c r="L998" s="162"/>
    </row>
    <row r="999" spans="1:12" s="3" customFormat="1" ht="15" x14ac:dyDescent="0.25">
      <c r="A999" s="18"/>
      <c r="B999" s="19" t="s">
        <v>338</v>
      </c>
      <c r="C999" s="28">
        <f>C959+C989+C997</f>
        <v>17375457</v>
      </c>
      <c r="D999" s="36">
        <f t="shared" ref="D999:G999" si="419">D959+D989+D997</f>
        <v>1326698.3400000001</v>
      </c>
      <c r="E999" s="28">
        <f t="shared" si="419"/>
        <v>62033.86</v>
      </c>
      <c r="F999" s="36">
        <f t="shared" si="419"/>
        <v>8269700.6900000004</v>
      </c>
      <c r="G999" s="28">
        <f t="shared" si="419"/>
        <v>9043722.4499999993</v>
      </c>
      <c r="H999" s="21">
        <v>47.59</v>
      </c>
      <c r="I999" s="243">
        <f t="shared" ref="I999:L999" si="420">I959+I989+I997</f>
        <v>172357.90000000002</v>
      </c>
      <c r="J999" s="172">
        <f t="shared" si="420"/>
        <v>17547814.899999999</v>
      </c>
      <c r="K999" s="236">
        <f t="shared" si="420"/>
        <v>17648762.294</v>
      </c>
      <c r="L999" s="172">
        <f t="shared" si="420"/>
        <v>18707688.031640001</v>
      </c>
    </row>
    <row r="1000" spans="1:12" x14ac:dyDescent="0.2">
      <c r="A1000" s="5"/>
      <c r="B1000" s="7"/>
      <c r="C1000" s="29"/>
      <c r="D1000" s="11"/>
      <c r="E1000" s="9"/>
      <c r="F1000" s="11"/>
      <c r="G1000" s="9"/>
      <c r="H1000" s="11"/>
      <c r="I1000" s="240"/>
      <c r="J1000" s="162"/>
      <c r="K1000" s="169"/>
      <c r="L1000" s="162"/>
    </row>
    <row r="1001" spans="1:12" s="3" customFormat="1" ht="15" x14ac:dyDescent="0.25">
      <c r="A1001" s="18"/>
      <c r="B1001" s="19" t="s">
        <v>339</v>
      </c>
      <c r="C1001" s="28">
        <f>C999</f>
        <v>17375457</v>
      </c>
      <c r="D1001" s="36">
        <f t="shared" ref="D1001:L1001" si="421">D999</f>
        <v>1326698.3400000001</v>
      </c>
      <c r="E1001" s="28">
        <f t="shared" si="421"/>
        <v>62033.86</v>
      </c>
      <c r="F1001" s="36">
        <f t="shared" si="421"/>
        <v>8269700.6900000004</v>
      </c>
      <c r="G1001" s="28">
        <f t="shared" si="421"/>
        <v>9043722.4499999993</v>
      </c>
      <c r="H1001" s="21">
        <v>47.59</v>
      </c>
      <c r="I1001" s="243">
        <f t="shared" si="421"/>
        <v>172357.90000000002</v>
      </c>
      <c r="J1001" s="172">
        <f t="shared" si="421"/>
        <v>17547814.899999999</v>
      </c>
      <c r="K1001" s="236">
        <f t="shared" si="421"/>
        <v>17648762.294</v>
      </c>
      <c r="L1001" s="172">
        <f t="shared" si="421"/>
        <v>18707688.031640001</v>
      </c>
    </row>
    <row r="1002" spans="1:12" s="3" customFormat="1" ht="15" x14ac:dyDescent="0.25">
      <c r="A1002" s="18"/>
      <c r="B1002" s="19"/>
      <c r="C1002" s="28"/>
      <c r="D1002" s="21"/>
      <c r="E1002" s="20"/>
      <c r="F1002" s="21"/>
      <c r="G1002" s="20"/>
      <c r="H1002" s="21"/>
      <c r="I1002" s="238"/>
      <c r="J1002" s="168"/>
      <c r="K1002" s="178"/>
      <c r="L1002" s="168"/>
    </row>
    <row r="1003" spans="1:12" s="3" customFormat="1" ht="15" x14ac:dyDescent="0.25">
      <c r="A1003" s="18"/>
      <c r="B1003" s="19" t="s">
        <v>340</v>
      </c>
      <c r="C1003" s="28"/>
      <c r="D1003" s="21"/>
      <c r="E1003" s="20"/>
      <c r="F1003" s="21"/>
      <c r="G1003" s="20"/>
      <c r="H1003" s="21"/>
      <c r="I1003" s="238"/>
      <c r="J1003" s="168"/>
      <c r="K1003" s="178"/>
      <c r="L1003" s="168"/>
    </row>
    <row r="1004" spans="1:12" s="3" customFormat="1" ht="15" x14ac:dyDescent="0.25">
      <c r="A1004" s="18"/>
      <c r="B1004" s="19"/>
      <c r="C1004" s="28"/>
      <c r="D1004" s="21"/>
      <c r="E1004" s="20"/>
      <c r="F1004" s="21"/>
      <c r="G1004" s="20"/>
      <c r="H1004" s="21"/>
      <c r="I1004" s="238"/>
      <c r="J1004" s="168"/>
      <c r="K1004" s="178"/>
      <c r="L1004" s="168"/>
    </row>
    <row r="1005" spans="1:12" s="3" customFormat="1" ht="15" x14ac:dyDescent="0.25">
      <c r="A1005" s="18"/>
      <c r="B1005" s="19" t="s">
        <v>345</v>
      </c>
      <c r="C1005" s="28"/>
      <c r="D1005" s="21"/>
      <c r="E1005" s="20"/>
      <c r="F1005" s="21"/>
      <c r="G1005" s="20"/>
      <c r="H1005" s="21"/>
      <c r="I1005" s="238"/>
      <c r="J1005" s="168"/>
      <c r="K1005" s="178"/>
      <c r="L1005" s="168"/>
    </row>
    <row r="1006" spans="1:12" s="3" customFormat="1" ht="15" x14ac:dyDescent="0.25">
      <c r="A1006" s="18"/>
      <c r="B1006" s="19"/>
      <c r="C1006" s="28"/>
      <c r="D1006" s="21"/>
      <c r="E1006" s="20"/>
      <c r="F1006" s="21"/>
      <c r="G1006" s="20"/>
      <c r="H1006" s="21"/>
      <c r="I1006" s="238"/>
      <c r="J1006" s="168"/>
      <c r="K1006" s="178"/>
      <c r="L1006" s="168"/>
    </row>
    <row r="1007" spans="1:12" x14ac:dyDescent="0.2">
      <c r="A1007" s="5" t="s">
        <v>823</v>
      </c>
      <c r="B1007" s="7" t="s">
        <v>351</v>
      </c>
      <c r="C1007" s="29">
        <v>-1534222</v>
      </c>
      <c r="D1007" s="11">
        <v>-128076.55</v>
      </c>
      <c r="E1007" s="9">
        <v>0</v>
      </c>
      <c r="F1007" s="11">
        <v>-769648.67</v>
      </c>
      <c r="G1007" s="9">
        <v>-764573.33</v>
      </c>
      <c r="H1007" s="11">
        <v>50.16</v>
      </c>
      <c r="I1007" s="240">
        <f>'Community services'!I87</f>
        <v>0</v>
      </c>
      <c r="J1007" s="109">
        <f>'Community services'!J87</f>
        <v>-1534222</v>
      </c>
      <c r="K1007" s="229">
        <f>'Community services'!K87</f>
        <v>-1626275.32</v>
      </c>
      <c r="L1007" s="109">
        <f>'Community services'!L87</f>
        <v>-1723851.8392</v>
      </c>
    </row>
    <row r="1008" spans="1:12" x14ac:dyDescent="0.2">
      <c r="A1008" s="5"/>
      <c r="B1008" s="7"/>
      <c r="C1008" s="29"/>
      <c r="D1008" s="11"/>
      <c r="E1008" s="9"/>
      <c r="F1008" s="11"/>
      <c r="G1008" s="9"/>
      <c r="H1008" s="11"/>
      <c r="I1008" s="240"/>
      <c r="J1008" s="162"/>
      <c r="K1008" s="169"/>
      <c r="L1008" s="162"/>
    </row>
    <row r="1009" spans="1:12" s="3" customFormat="1" ht="15" x14ac:dyDescent="0.25">
      <c r="A1009" s="18"/>
      <c r="B1009" s="19" t="s">
        <v>352</v>
      </c>
      <c r="C1009" s="28">
        <f>SUM(C1007:C1008)</f>
        <v>-1534222</v>
      </c>
      <c r="D1009" s="36">
        <f t="shared" ref="D1009:G1009" si="422">SUM(D1007:D1008)</f>
        <v>-128076.55</v>
      </c>
      <c r="E1009" s="28">
        <f t="shared" si="422"/>
        <v>0</v>
      </c>
      <c r="F1009" s="36">
        <f t="shared" si="422"/>
        <v>-769648.67</v>
      </c>
      <c r="G1009" s="28">
        <f t="shared" si="422"/>
        <v>-764573.33</v>
      </c>
      <c r="H1009" s="21">
        <v>50.16</v>
      </c>
      <c r="I1009" s="243">
        <f t="shared" ref="I1009" si="423">SUM(I1007:I1008)</f>
        <v>0</v>
      </c>
      <c r="J1009" s="172">
        <f t="shared" ref="J1009" si="424">SUM(J1007:J1008)</f>
        <v>-1534222</v>
      </c>
      <c r="K1009" s="236">
        <f t="shared" ref="K1009" si="425">SUM(K1007:K1008)</f>
        <v>-1626275.32</v>
      </c>
      <c r="L1009" s="172">
        <f t="shared" ref="L1009" si="426">SUM(L1007:L1008)</f>
        <v>-1723851.8392</v>
      </c>
    </row>
    <row r="1010" spans="1:12" s="3" customFormat="1" ht="15" x14ac:dyDescent="0.25">
      <c r="A1010" s="18"/>
      <c r="B1010" s="19"/>
      <c r="C1010" s="28"/>
      <c r="D1010" s="21"/>
      <c r="E1010" s="20"/>
      <c r="F1010" s="21"/>
      <c r="G1010" s="20"/>
      <c r="H1010" s="21"/>
      <c r="I1010" s="238"/>
      <c r="J1010" s="168"/>
      <c r="K1010" s="178"/>
      <c r="L1010" s="168"/>
    </row>
    <row r="1011" spans="1:12" s="3" customFormat="1" ht="15" x14ac:dyDescent="0.25">
      <c r="A1011" s="18"/>
      <c r="B1011" s="19" t="s">
        <v>353</v>
      </c>
      <c r="C1011" s="28"/>
      <c r="D1011" s="21"/>
      <c r="E1011" s="20"/>
      <c r="F1011" s="21"/>
      <c r="G1011" s="20"/>
      <c r="H1011" s="21"/>
      <c r="I1011" s="238"/>
      <c r="J1011" s="168"/>
      <c r="K1011" s="178"/>
      <c r="L1011" s="168"/>
    </row>
    <row r="1012" spans="1:12" s="3" customFormat="1" ht="15" x14ac:dyDescent="0.25">
      <c r="A1012" s="18"/>
      <c r="B1012" s="19"/>
      <c r="C1012" s="28"/>
      <c r="D1012" s="21"/>
      <c r="E1012" s="20"/>
      <c r="F1012" s="21"/>
      <c r="G1012" s="20"/>
      <c r="H1012" s="21"/>
      <c r="I1012" s="238"/>
      <c r="J1012" s="168"/>
      <c r="K1012" s="178"/>
      <c r="L1012" s="168"/>
    </row>
    <row r="1013" spans="1:12" x14ac:dyDescent="0.2">
      <c r="A1013" s="5" t="s">
        <v>824</v>
      </c>
      <c r="B1013" s="7" t="s">
        <v>355</v>
      </c>
      <c r="C1013" s="29">
        <v>-500000</v>
      </c>
      <c r="D1013" s="11">
        <v>0</v>
      </c>
      <c r="E1013" s="9">
        <v>0</v>
      </c>
      <c r="F1013" s="11">
        <v>0</v>
      </c>
      <c r="G1013" s="9">
        <v>-500000</v>
      </c>
      <c r="H1013" s="11">
        <v>0</v>
      </c>
      <c r="I1013" s="240">
        <f>'Community services'!I93</f>
        <v>0</v>
      </c>
      <c r="J1013" s="109">
        <f>'Community services'!J93</f>
        <v>-500000</v>
      </c>
      <c r="K1013" s="229">
        <f>'Community services'!K93</f>
        <v>0</v>
      </c>
      <c r="L1013" s="109">
        <f>'Community services'!L93</f>
        <v>0</v>
      </c>
    </row>
    <row r="1014" spans="1:12" x14ac:dyDescent="0.2">
      <c r="A1014" s="5" t="s">
        <v>825</v>
      </c>
      <c r="B1014" s="7" t="s">
        <v>357</v>
      </c>
      <c r="C1014" s="29">
        <v>0</v>
      </c>
      <c r="D1014" s="11">
        <v>0</v>
      </c>
      <c r="E1014" s="9">
        <v>0</v>
      </c>
      <c r="F1014" s="11">
        <v>0</v>
      </c>
      <c r="G1014" s="9">
        <v>0</v>
      </c>
      <c r="H1014" s="11">
        <v>0</v>
      </c>
      <c r="I1014" s="240">
        <f>'Community services'!I94</f>
        <v>0</v>
      </c>
      <c r="J1014" s="162"/>
      <c r="K1014" s="169"/>
      <c r="L1014" s="162"/>
    </row>
    <row r="1015" spans="1:12" x14ac:dyDescent="0.2">
      <c r="A1015" s="5"/>
      <c r="B1015" s="7"/>
      <c r="C1015" s="29"/>
      <c r="D1015" s="11"/>
      <c r="E1015" s="9"/>
      <c r="F1015" s="11"/>
      <c r="G1015" s="9"/>
      <c r="H1015" s="11"/>
      <c r="I1015" s="240"/>
      <c r="J1015" s="162"/>
      <c r="K1015" s="169"/>
      <c r="L1015" s="162"/>
    </row>
    <row r="1016" spans="1:12" s="3" customFormat="1" ht="15" x14ac:dyDescent="0.25">
      <c r="A1016" s="18"/>
      <c r="B1016" s="19" t="s">
        <v>360</v>
      </c>
      <c r="C1016" s="28">
        <f>SUM(C1013:C1015)</f>
        <v>-500000</v>
      </c>
      <c r="D1016" s="36">
        <f t="shared" ref="D1016:G1016" si="427">SUM(D1013:D1015)</f>
        <v>0</v>
      </c>
      <c r="E1016" s="28">
        <f t="shared" si="427"/>
        <v>0</v>
      </c>
      <c r="F1016" s="36">
        <f t="shared" si="427"/>
        <v>0</v>
      </c>
      <c r="G1016" s="28">
        <f t="shared" si="427"/>
        <v>-500000</v>
      </c>
      <c r="H1016" s="21">
        <v>0</v>
      </c>
      <c r="I1016" s="243">
        <f t="shared" ref="I1016" si="428">SUM(I1013:I1015)</f>
        <v>0</v>
      </c>
      <c r="J1016" s="172">
        <f t="shared" ref="J1016" si="429">SUM(J1013:J1015)</f>
        <v>-500000</v>
      </c>
      <c r="K1016" s="236">
        <f t="shared" ref="K1016" si="430">SUM(K1013:K1015)</f>
        <v>0</v>
      </c>
      <c r="L1016" s="172">
        <f t="shared" ref="L1016" si="431">SUM(L1013:L1015)</f>
        <v>0</v>
      </c>
    </row>
    <row r="1017" spans="1:12" s="3" customFormat="1" ht="15" x14ac:dyDescent="0.25">
      <c r="A1017" s="18"/>
      <c r="B1017" s="19"/>
      <c r="C1017" s="28"/>
      <c r="D1017" s="21"/>
      <c r="E1017" s="20"/>
      <c r="F1017" s="21"/>
      <c r="G1017" s="20"/>
      <c r="H1017" s="21"/>
      <c r="I1017" s="238"/>
      <c r="J1017" s="168"/>
      <c r="K1017" s="178"/>
      <c r="L1017" s="168"/>
    </row>
    <row r="1018" spans="1:12" s="3" customFormat="1" ht="15" x14ac:dyDescent="0.25">
      <c r="A1018" s="18"/>
      <c r="B1018" s="19" t="s">
        <v>361</v>
      </c>
      <c r="C1018" s="28"/>
      <c r="D1018" s="21"/>
      <c r="E1018" s="20"/>
      <c r="F1018" s="21"/>
      <c r="G1018" s="20"/>
      <c r="H1018" s="21"/>
      <c r="I1018" s="238"/>
      <c r="J1018" s="168"/>
      <c r="K1018" s="178"/>
      <c r="L1018" s="168"/>
    </row>
    <row r="1019" spans="1:12" s="3" customFormat="1" ht="15" x14ac:dyDescent="0.25">
      <c r="A1019" s="18"/>
      <c r="B1019" s="19"/>
      <c r="C1019" s="28"/>
      <c r="D1019" s="21"/>
      <c r="E1019" s="20"/>
      <c r="F1019" s="21"/>
      <c r="G1019" s="20"/>
      <c r="H1019" s="21"/>
      <c r="I1019" s="238"/>
      <c r="J1019" s="168"/>
      <c r="K1019" s="178"/>
      <c r="L1019" s="168"/>
    </row>
    <row r="1020" spans="1:12" x14ac:dyDescent="0.2">
      <c r="A1020" s="5" t="s">
        <v>826</v>
      </c>
      <c r="B1020" s="7" t="s">
        <v>365</v>
      </c>
      <c r="C1020" s="29">
        <v>-401576</v>
      </c>
      <c r="D1020" s="11">
        <v>0</v>
      </c>
      <c r="E1020" s="9">
        <v>0</v>
      </c>
      <c r="F1020" s="11">
        <v>0</v>
      </c>
      <c r="G1020" s="9">
        <v>-401576</v>
      </c>
      <c r="H1020" s="11">
        <v>0</v>
      </c>
      <c r="I1020" s="240">
        <f>'Community services'!I100</f>
        <v>0</v>
      </c>
      <c r="J1020" s="109">
        <f>'Community services'!J100</f>
        <v>-401576</v>
      </c>
      <c r="K1020" s="229">
        <f>'Community services'!K100</f>
        <v>0</v>
      </c>
      <c r="L1020" s="109">
        <f>'Community services'!L100</f>
        <v>0</v>
      </c>
    </row>
    <row r="1021" spans="1:12" x14ac:dyDescent="0.2">
      <c r="A1021" s="5"/>
      <c r="B1021" s="7"/>
      <c r="C1021" s="29"/>
      <c r="D1021" s="11"/>
      <c r="E1021" s="9"/>
      <c r="F1021" s="11"/>
      <c r="G1021" s="9"/>
      <c r="H1021" s="11"/>
      <c r="I1021" s="240"/>
      <c r="J1021" s="162"/>
      <c r="K1021" s="169"/>
      <c r="L1021" s="162"/>
    </row>
    <row r="1022" spans="1:12" s="3" customFormat="1" ht="15" x14ac:dyDescent="0.25">
      <c r="A1022" s="18"/>
      <c r="B1022" s="19" t="s">
        <v>368</v>
      </c>
      <c r="C1022" s="28">
        <f>SUM(C1020:C1021)</f>
        <v>-401576</v>
      </c>
      <c r="D1022" s="36">
        <f t="shared" ref="D1022:G1022" si="432">SUM(D1020:D1021)</f>
        <v>0</v>
      </c>
      <c r="E1022" s="28">
        <f t="shared" si="432"/>
        <v>0</v>
      </c>
      <c r="F1022" s="36">
        <f t="shared" si="432"/>
        <v>0</v>
      </c>
      <c r="G1022" s="28">
        <f t="shared" si="432"/>
        <v>-401576</v>
      </c>
      <c r="H1022" s="21">
        <v>0</v>
      </c>
      <c r="I1022" s="243">
        <f t="shared" ref="I1022" si="433">SUM(I1020:I1021)</f>
        <v>0</v>
      </c>
      <c r="J1022" s="172">
        <f t="shared" ref="J1022" si="434">SUM(J1020:J1021)</f>
        <v>-401576</v>
      </c>
      <c r="K1022" s="236">
        <f t="shared" ref="K1022" si="435">SUM(K1020:K1021)</f>
        <v>0</v>
      </c>
      <c r="L1022" s="172">
        <f t="shared" ref="L1022" si="436">SUM(L1020:L1021)</f>
        <v>0</v>
      </c>
    </row>
    <row r="1023" spans="1:12" s="3" customFormat="1" ht="15" x14ac:dyDescent="0.25">
      <c r="A1023" s="18"/>
      <c r="B1023" s="19"/>
      <c r="C1023" s="28"/>
      <c r="D1023" s="21"/>
      <c r="E1023" s="20"/>
      <c r="F1023" s="21"/>
      <c r="G1023" s="20"/>
      <c r="H1023" s="21"/>
      <c r="I1023" s="238"/>
      <c r="J1023" s="168"/>
      <c r="K1023" s="178"/>
      <c r="L1023" s="168"/>
    </row>
    <row r="1024" spans="1:12" s="3" customFormat="1" ht="15" x14ac:dyDescent="0.25">
      <c r="A1024" s="18"/>
      <c r="B1024" s="19" t="s">
        <v>375</v>
      </c>
      <c r="C1024" s="28"/>
      <c r="D1024" s="21"/>
      <c r="E1024" s="20"/>
      <c r="F1024" s="21"/>
      <c r="G1024" s="20"/>
      <c r="H1024" s="21"/>
      <c r="I1024" s="238"/>
      <c r="J1024" s="168"/>
      <c r="K1024" s="178"/>
      <c r="L1024" s="168"/>
    </row>
    <row r="1025" spans="1:12" s="3" customFormat="1" ht="15" x14ac:dyDescent="0.25">
      <c r="A1025" s="18"/>
      <c r="B1025" s="19"/>
      <c r="C1025" s="28"/>
      <c r="D1025" s="21"/>
      <c r="E1025" s="20"/>
      <c r="F1025" s="21"/>
      <c r="G1025" s="20"/>
      <c r="H1025" s="21"/>
      <c r="I1025" s="238"/>
      <c r="J1025" s="168"/>
      <c r="K1025" s="178"/>
      <c r="L1025" s="168"/>
    </row>
    <row r="1026" spans="1:12" x14ac:dyDescent="0.2">
      <c r="A1026" s="5" t="s">
        <v>827</v>
      </c>
      <c r="B1026" s="7" t="s">
        <v>377</v>
      </c>
      <c r="C1026" s="29">
        <v>-225978</v>
      </c>
      <c r="D1026" s="11">
        <v>-9645.44</v>
      </c>
      <c r="E1026" s="9">
        <v>0</v>
      </c>
      <c r="F1026" s="11">
        <v>-67246.289999999994</v>
      </c>
      <c r="G1026" s="9">
        <v>-158731.71</v>
      </c>
      <c r="H1026" s="11">
        <v>29.75</v>
      </c>
      <c r="I1026" s="240">
        <f>'Community services'!I106</f>
        <v>0</v>
      </c>
      <c r="J1026" s="109">
        <f>'Community services'!J106</f>
        <v>-225978</v>
      </c>
      <c r="K1026" s="229">
        <f>'Community services'!K106</f>
        <v>-239536.68</v>
      </c>
      <c r="L1026" s="109">
        <f>'Community services'!L106</f>
        <v>-253908.88079999998</v>
      </c>
    </row>
    <row r="1027" spans="1:12" x14ac:dyDescent="0.2">
      <c r="A1027" s="5"/>
      <c r="B1027" s="7"/>
      <c r="C1027" s="29"/>
      <c r="D1027" s="11"/>
      <c r="E1027" s="9"/>
      <c r="F1027" s="11"/>
      <c r="G1027" s="9"/>
      <c r="H1027" s="11"/>
      <c r="I1027" s="240"/>
      <c r="J1027" s="162"/>
      <c r="K1027" s="169"/>
      <c r="L1027" s="162"/>
    </row>
    <row r="1028" spans="1:12" s="3" customFormat="1" ht="15" x14ac:dyDescent="0.25">
      <c r="A1028" s="18"/>
      <c r="B1028" s="19" t="s">
        <v>380</v>
      </c>
      <c r="C1028" s="28">
        <f>SUM(C1026:C1027)</f>
        <v>-225978</v>
      </c>
      <c r="D1028" s="36">
        <f t="shared" ref="D1028:G1028" si="437">SUM(D1026:D1027)</f>
        <v>-9645.44</v>
      </c>
      <c r="E1028" s="28">
        <f t="shared" si="437"/>
        <v>0</v>
      </c>
      <c r="F1028" s="36">
        <f t="shared" si="437"/>
        <v>-67246.289999999994</v>
      </c>
      <c r="G1028" s="28">
        <f t="shared" si="437"/>
        <v>-158731.71</v>
      </c>
      <c r="H1028" s="21">
        <v>29.75</v>
      </c>
      <c r="I1028" s="243">
        <f t="shared" ref="I1028" si="438">SUM(I1026:I1027)</f>
        <v>0</v>
      </c>
      <c r="J1028" s="172">
        <f t="shared" ref="J1028" si="439">SUM(J1026:J1027)</f>
        <v>-225978</v>
      </c>
      <c r="K1028" s="236">
        <f t="shared" ref="K1028" si="440">SUM(K1026:K1027)</f>
        <v>-239536.68</v>
      </c>
      <c r="L1028" s="172">
        <f t="shared" ref="L1028" si="441">SUM(L1026:L1027)</f>
        <v>-253908.88079999998</v>
      </c>
    </row>
    <row r="1029" spans="1:12" x14ac:dyDescent="0.2">
      <c r="A1029" s="5"/>
      <c r="B1029" s="7"/>
      <c r="C1029" s="29"/>
      <c r="D1029" s="11"/>
      <c r="E1029" s="9"/>
      <c r="F1029" s="11"/>
      <c r="G1029" s="9"/>
      <c r="H1029" s="11"/>
      <c r="I1029" s="240"/>
      <c r="J1029" s="162"/>
      <c r="K1029" s="169"/>
      <c r="L1029" s="162"/>
    </row>
    <row r="1030" spans="1:12" s="3" customFormat="1" ht="15" x14ac:dyDescent="0.25">
      <c r="A1030" s="18"/>
      <c r="B1030" s="19" t="s">
        <v>381</v>
      </c>
      <c r="C1030" s="28"/>
      <c r="D1030" s="21"/>
      <c r="E1030" s="20"/>
      <c r="F1030" s="21"/>
      <c r="G1030" s="20"/>
      <c r="H1030" s="21"/>
      <c r="I1030" s="238"/>
      <c r="J1030" s="168"/>
      <c r="K1030" s="178"/>
      <c r="L1030" s="168"/>
    </row>
    <row r="1031" spans="1:12" s="3" customFormat="1" ht="15" x14ac:dyDescent="0.25">
      <c r="A1031" s="18"/>
      <c r="B1031" s="19"/>
      <c r="C1031" s="28"/>
      <c r="D1031" s="21"/>
      <c r="E1031" s="20"/>
      <c r="F1031" s="21"/>
      <c r="G1031" s="20"/>
      <c r="H1031" s="21"/>
      <c r="I1031" s="238"/>
      <c r="J1031" s="168"/>
      <c r="K1031" s="178"/>
      <c r="L1031" s="168"/>
    </row>
    <row r="1032" spans="1:12" x14ac:dyDescent="0.2">
      <c r="A1032" s="5" t="s">
        <v>828</v>
      </c>
      <c r="B1032" s="7" t="s">
        <v>385</v>
      </c>
      <c r="C1032" s="29">
        <v>-1003</v>
      </c>
      <c r="D1032" s="11">
        <v>0</v>
      </c>
      <c r="E1032" s="9">
        <v>0</v>
      </c>
      <c r="F1032" s="11">
        <v>-96.93</v>
      </c>
      <c r="G1032" s="9">
        <v>-906.07</v>
      </c>
      <c r="H1032" s="11">
        <v>9.66</v>
      </c>
      <c r="I1032" s="241">
        <f>'Community services'!I112</f>
        <v>803</v>
      </c>
      <c r="J1032" s="109">
        <f>'Community services'!J112</f>
        <v>-200</v>
      </c>
      <c r="K1032" s="229">
        <f>'Community services'!K112</f>
        <v>-212</v>
      </c>
      <c r="L1032" s="109">
        <f>'Community services'!L112</f>
        <v>-224.72</v>
      </c>
    </row>
    <row r="1033" spans="1:12" x14ac:dyDescent="0.2">
      <c r="A1033" s="5" t="s">
        <v>829</v>
      </c>
      <c r="B1033" s="7" t="s">
        <v>135</v>
      </c>
      <c r="C1033" s="29">
        <v>0</v>
      </c>
      <c r="D1033" s="11">
        <v>0</v>
      </c>
      <c r="E1033" s="9">
        <v>0</v>
      </c>
      <c r="F1033" s="11">
        <v>0</v>
      </c>
      <c r="G1033" s="9">
        <v>0</v>
      </c>
      <c r="H1033" s="11">
        <v>0</v>
      </c>
      <c r="I1033" s="241">
        <f>'Community services'!I113</f>
        <v>0</v>
      </c>
      <c r="J1033" s="109">
        <f>'Community services'!J113</f>
        <v>0</v>
      </c>
      <c r="K1033" s="229">
        <f>'Community services'!K113</f>
        <v>0</v>
      </c>
      <c r="L1033" s="109">
        <f>'Community services'!L113</f>
        <v>0</v>
      </c>
    </row>
    <row r="1034" spans="1:12" x14ac:dyDescent="0.2">
      <c r="A1034" s="5" t="s">
        <v>830</v>
      </c>
      <c r="B1034" s="7" t="s">
        <v>393</v>
      </c>
      <c r="C1034" s="29">
        <v>-5253</v>
      </c>
      <c r="D1034" s="11">
        <v>-1680</v>
      </c>
      <c r="E1034" s="9">
        <v>0</v>
      </c>
      <c r="F1034" s="11">
        <v>-7688</v>
      </c>
      <c r="G1034" s="9">
        <v>2435</v>
      </c>
      <c r="H1034" s="11">
        <v>146.35</v>
      </c>
      <c r="I1034" s="241">
        <f>'Community services'!I114</f>
        <v>-4747</v>
      </c>
      <c r="J1034" s="109">
        <f>'Community services'!J114</f>
        <v>-10000</v>
      </c>
      <c r="K1034" s="229">
        <f>'Community services'!K114</f>
        <v>-10600</v>
      </c>
      <c r="L1034" s="109">
        <f>'Community services'!L114</f>
        <v>-11236</v>
      </c>
    </row>
    <row r="1035" spans="1:12" x14ac:dyDescent="0.2">
      <c r="A1035" s="5" t="s">
        <v>831</v>
      </c>
      <c r="B1035" s="7" t="s">
        <v>187</v>
      </c>
      <c r="C1035" s="29">
        <v>-416</v>
      </c>
      <c r="D1035" s="11">
        <v>-18150.5</v>
      </c>
      <c r="E1035" s="9">
        <v>0</v>
      </c>
      <c r="F1035" s="11">
        <v>-18250.5</v>
      </c>
      <c r="G1035" s="9">
        <v>17834.5</v>
      </c>
      <c r="H1035" s="11">
        <v>999.99</v>
      </c>
      <c r="I1035" s="241">
        <f>'Community services'!I115</f>
        <v>-1333.5</v>
      </c>
      <c r="J1035" s="109">
        <f>'Community services'!J115</f>
        <v>-1749.5</v>
      </c>
      <c r="K1035" s="229">
        <f>'Community services'!K115</f>
        <v>-1854.47</v>
      </c>
      <c r="L1035" s="109">
        <f>'Community services'!L115</f>
        <v>-1965.7382</v>
      </c>
    </row>
    <row r="1036" spans="1:12" x14ac:dyDescent="0.2">
      <c r="A1036" s="5" t="s">
        <v>832</v>
      </c>
      <c r="B1036" s="7" t="s">
        <v>833</v>
      </c>
      <c r="C1036" s="29">
        <v>0</v>
      </c>
      <c r="D1036" s="11">
        <v>0</v>
      </c>
      <c r="E1036" s="9">
        <v>0</v>
      </c>
      <c r="F1036" s="11">
        <v>0</v>
      </c>
      <c r="G1036" s="9">
        <v>0</v>
      </c>
      <c r="H1036" s="11">
        <v>0</v>
      </c>
      <c r="I1036" s="241">
        <f>'Community services'!I116</f>
        <v>0</v>
      </c>
      <c r="J1036" s="109">
        <f>'Community services'!J116</f>
        <v>0</v>
      </c>
      <c r="K1036" s="229">
        <f>'Community services'!K116</f>
        <v>0</v>
      </c>
      <c r="L1036" s="109">
        <f>'Community services'!L116</f>
        <v>0</v>
      </c>
    </row>
    <row r="1037" spans="1:12" x14ac:dyDescent="0.2">
      <c r="A1037" s="5" t="s">
        <v>834</v>
      </c>
      <c r="B1037" s="7" t="s">
        <v>397</v>
      </c>
      <c r="C1037" s="29">
        <v>-791</v>
      </c>
      <c r="D1037" s="11">
        <v>0</v>
      </c>
      <c r="E1037" s="9">
        <v>0</v>
      </c>
      <c r="F1037" s="11">
        <v>-26.32</v>
      </c>
      <c r="G1037" s="9">
        <v>-764.68</v>
      </c>
      <c r="H1037" s="11">
        <v>3.32</v>
      </c>
      <c r="I1037" s="241">
        <f>'Community services'!I117</f>
        <v>600</v>
      </c>
      <c r="J1037" s="109">
        <f>'Community services'!J117</f>
        <v>-191</v>
      </c>
      <c r="K1037" s="229">
        <f>'Community services'!K117</f>
        <v>-202.46</v>
      </c>
      <c r="L1037" s="109">
        <f>'Community services'!L117</f>
        <v>-214.60760000000002</v>
      </c>
    </row>
    <row r="1038" spans="1:12" x14ac:dyDescent="0.2">
      <c r="A1038" s="5" t="s">
        <v>835</v>
      </c>
      <c r="B1038" s="7" t="s">
        <v>402</v>
      </c>
      <c r="C1038" s="29">
        <v>-2209</v>
      </c>
      <c r="D1038" s="11">
        <v>0</v>
      </c>
      <c r="E1038" s="9">
        <v>0</v>
      </c>
      <c r="F1038" s="11">
        <v>0</v>
      </c>
      <c r="G1038" s="9">
        <v>-2209</v>
      </c>
      <c r="H1038" s="11">
        <v>0</v>
      </c>
      <c r="I1038" s="241">
        <f>'Community services'!I118</f>
        <v>0</v>
      </c>
      <c r="J1038" s="109">
        <f>'Community services'!J118</f>
        <v>-2209</v>
      </c>
      <c r="K1038" s="229">
        <f>'Community services'!K118</f>
        <v>-2341.54</v>
      </c>
      <c r="L1038" s="109">
        <f>'Community services'!L118</f>
        <v>-2482.0324000000001</v>
      </c>
    </row>
    <row r="1039" spans="1:12" x14ac:dyDescent="0.2">
      <c r="A1039" s="5" t="s">
        <v>836</v>
      </c>
      <c r="B1039" s="7" t="s">
        <v>411</v>
      </c>
      <c r="C1039" s="29">
        <v>0</v>
      </c>
      <c r="D1039" s="11">
        <v>0</v>
      </c>
      <c r="E1039" s="9">
        <v>0</v>
      </c>
      <c r="F1039" s="11">
        <v>0</v>
      </c>
      <c r="G1039" s="9">
        <v>0</v>
      </c>
      <c r="H1039" s="11">
        <v>0</v>
      </c>
      <c r="I1039" s="241">
        <f>'Community services'!I119</f>
        <v>0</v>
      </c>
      <c r="J1039" s="109">
        <f>'Community services'!J119</f>
        <v>0</v>
      </c>
      <c r="K1039" s="229">
        <f>'Community services'!K119</f>
        <v>0</v>
      </c>
      <c r="L1039" s="109">
        <f>'Community services'!L119</f>
        <v>0</v>
      </c>
    </row>
    <row r="1040" spans="1:12" x14ac:dyDescent="0.2">
      <c r="A1040" s="5" t="s">
        <v>837</v>
      </c>
      <c r="B1040" s="7" t="s">
        <v>418</v>
      </c>
      <c r="C1040" s="29">
        <v>-954154</v>
      </c>
      <c r="D1040" s="11">
        <v>-100</v>
      </c>
      <c r="E1040" s="9">
        <v>0</v>
      </c>
      <c r="F1040" s="11">
        <v>-285650</v>
      </c>
      <c r="G1040" s="9">
        <v>-668504</v>
      </c>
      <c r="H1040" s="11">
        <v>29.93</v>
      </c>
      <c r="I1040" s="241">
        <f>'Community services'!I120</f>
        <v>0</v>
      </c>
      <c r="J1040" s="109">
        <f>'Community services'!J120</f>
        <v>-954154</v>
      </c>
      <c r="K1040" s="229">
        <f>'Community services'!K120</f>
        <v>-1011403.24</v>
      </c>
      <c r="L1040" s="109">
        <f>'Community services'!L120</f>
        <v>-1072087.4343999999</v>
      </c>
    </row>
    <row r="1041" spans="1:12" x14ac:dyDescent="0.2">
      <c r="A1041" s="5" t="s">
        <v>838</v>
      </c>
      <c r="B1041" s="7" t="s">
        <v>839</v>
      </c>
      <c r="C1041" s="29">
        <v>-7602114</v>
      </c>
      <c r="D1041" s="11">
        <v>-433898.2</v>
      </c>
      <c r="E1041" s="9">
        <v>0</v>
      </c>
      <c r="F1041" s="11">
        <v>-2075282.45</v>
      </c>
      <c r="G1041" s="9">
        <v>-5526831.5499999998</v>
      </c>
      <c r="H1041" s="11">
        <v>27.29</v>
      </c>
      <c r="I1041" s="241">
        <f>'Community services'!I121</f>
        <v>2000000</v>
      </c>
      <c r="J1041" s="109">
        <f>'Community services'!J121</f>
        <v>-5602114</v>
      </c>
      <c r="K1041" s="229">
        <f>'Community services'!K121</f>
        <v>-5938240.8399999999</v>
      </c>
      <c r="L1041" s="109">
        <f>'Community services'!L121</f>
        <v>-6294535.2904000003</v>
      </c>
    </row>
    <row r="1042" spans="1:12" x14ac:dyDescent="0.2">
      <c r="A1042" s="5" t="s">
        <v>840</v>
      </c>
      <c r="B1042" s="7" t="s">
        <v>425</v>
      </c>
      <c r="C1042" s="29">
        <v>0</v>
      </c>
      <c r="D1042" s="11">
        <v>0</v>
      </c>
      <c r="E1042" s="9">
        <v>0</v>
      </c>
      <c r="F1042" s="11">
        <v>0</v>
      </c>
      <c r="G1042" s="9">
        <v>0</v>
      </c>
      <c r="H1042" s="11">
        <v>0</v>
      </c>
      <c r="I1042" s="240">
        <f>'Community services'!I122</f>
        <v>0</v>
      </c>
      <c r="J1042" s="109">
        <f>'Community services'!J122</f>
        <v>0</v>
      </c>
      <c r="K1042" s="169"/>
      <c r="L1042" s="162"/>
    </row>
    <row r="1043" spans="1:12" x14ac:dyDescent="0.2">
      <c r="A1043" s="5"/>
      <c r="B1043" s="7"/>
      <c r="C1043" s="29"/>
      <c r="D1043" s="11"/>
      <c r="E1043" s="9"/>
      <c r="F1043" s="11"/>
      <c r="G1043" s="9"/>
      <c r="H1043" s="11"/>
      <c r="I1043" s="240"/>
      <c r="J1043" s="162"/>
      <c r="K1043" s="169"/>
      <c r="L1043" s="162"/>
    </row>
    <row r="1044" spans="1:12" s="3" customFormat="1" ht="15" x14ac:dyDescent="0.25">
      <c r="A1044" s="18"/>
      <c r="B1044" s="19" t="s">
        <v>426</v>
      </c>
      <c r="C1044" s="28">
        <f>SUM(C1032:C1043)</f>
        <v>-8565940</v>
      </c>
      <c r="D1044" s="36">
        <f t="shared" ref="D1044:G1044" si="442">SUM(D1032:D1043)</f>
        <v>-453828.7</v>
      </c>
      <c r="E1044" s="28">
        <f t="shared" si="442"/>
        <v>0</v>
      </c>
      <c r="F1044" s="36">
        <f t="shared" si="442"/>
        <v>-2386994.2000000002</v>
      </c>
      <c r="G1044" s="28">
        <f t="shared" si="442"/>
        <v>-6178945.7999999998</v>
      </c>
      <c r="H1044" s="21">
        <v>27.86</v>
      </c>
      <c r="I1044" s="243">
        <f t="shared" ref="I1044" si="443">SUM(I1032:I1043)</f>
        <v>1995322.5</v>
      </c>
      <c r="J1044" s="172">
        <f t="shared" ref="J1044" si="444">SUM(J1032:J1043)</f>
        <v>-6570617.5</v>
      </c>
      <c r="K1044" s="236">
        <f t="shared" ref="K1044" si="445">SUM(K1032:K1043)</f>
        <v>-6964854.5499999998</v>
      </c>
      <c r="L1044" s="172">
        <f t="shared" ref="L1044" si="446">SUM(L1032:L1043)</f>
        <v>-7382745.8229999999</v>
      </c>
    </row>
    <row r="1045" spans="1:12" s="3" customFormat="1" ht="15" x14ac:dyDescent="0.25">
      <c r="A1045" s="18"/>
      <c r="B1045" s="19"/>
      <c r="C1045" s="28"/>
      <c r="D1045" s="21"/>
      <c r="E1045" s="20"/>
      <c r="F1045" s="21"/>
      <c r="G1045" s="20"/>
      <c r="H1045" s="21"/>
      <c r="I1045" s="238"/>
      <c r="J1045" s="168"/>
      <c r="K1045" s="178"/>
      <c r="L1045" s="168"/>
    </row>
    <row r="1046" spans="1:12" s="3" customFormat="1" ht="15" x14ac:dyDescent="0.25">
      <c r="A1046" s="18"/>
      <c r="B1046" s="19" t="s">
        <v>427</v>
      </c>
      <c r="C1046" s="28">
        <f>C1009+C1016+C1022+C1028+C1044</f>
        <v>-11227716</v>
      </c>
      <c r="D1046" s="36">
        <f t="shared" ref="D1046:L1046" si="447">D1009+D1016+D1022+D1028+D1044</f>
        <v>-591550.68999999994</v>
      </c>
      <c r="E1046" s="28">
        <f t="shared" si="447"/>
        <v>0</v>
      </c>
      <c r="F1046" s="36">
        <f t="shared" si="447"/>
        <v>-3223889.16</v>
      </c>
      <c r="G1046" s="28">
        <f t="shared" si="447"/>
        <v>-8003826.8399999999</v>
      </c>
      <c r="H1046" s="21">
        <v>28.71</v>
      </c>
      <c r="I1046" s="243">
        <f t="shared" si="447"/>
        <v>1995322.5</v>
      </c>
      <c r="J1046" s="172">
        <f t="shared" si="447"/>
        <v>-9232393.5</v>
      </c>
      <c r="K1046" s="236">
        <f t="shared" si="447"/>
        <v>-8830666.5500000007</v>
      </c>
      <c r="L1046" s="172">
        <f t="shared" si="447"/>
        <v>-9360506.5429999996</v>
      </c>
    </row>
    <row r="1047" spans="1:12" x14ac:dyDescent="0.2">
      <c r="A1047" s="5"/>
      <c r="B1047" s="7"/>
      <c r="C1047" s="29"/>
      <c r="D1047" s="11"/>
      <c r="E1047" s="9"/>
      <c r="F1047" s="11"/>
      <c r="G1047" s="9"/>
      <c r="H1047" s="11"/>
      <c r="I1047" s="240"/>
      <c r="J1047" s="162"/>
      <c r="K1047" s="169"/>
      <c r="L1047" s="162"/>
    </row>
    <row r="1048" spans="1:12" s="3" customFormat="1" ht="15" x14ac:dyDescent="0.25">
      <c r="A1048" s="18"/>
      <c r="B1048" s="19" t="s">
        <v>428</v>
      </c>
      <c r="C1048" s="28">
        <f>C1046</f>
        <v>-11227716</v>
      </c>
      <c r="D1048" s="36">
        <f t="shared" ref="D1048:L1048" si="448">D1046</f>
        <v>-591550.68999999994</v>
      </c>
      <c r="E1048" s="28">
        <f t="shared" si="448"/>
        <v>0</v>
      </c>
      <c r="F1048" s="36">
        <f t="shared" si="448"/>
        <v>-3223889.16</v>
      </c>
      <c r="G1048" s="28">
        <f t="shared" si="448"/>
        <v>-8003826.8399999999</v>
      </c>
      <c r="H1048" s="21">
        <v>28.71</v>
      </c>
      <c r="I1048" s="243">
        <f t="shared" si="448"/>
        <v>1995322.5</v>
      </c>
      <c r="J1048" s="172">
        <f t="shared" si="448"/>
        <v>-9232393.5</v>
      </c>
      <c r="K1048" s="236">
        <f t="shared" si="448"/>
        <v>-8830666.5500000007</v>
      </c>
      <c r="L1048" s="172">
        <f t="shared" si="448"/>
        <v>-9360506.5429999996</v>
      </c>
    </row>
    <row r="1049" spans="1:12" x14ac:dyDescent="0.2">
      <c r="A1049" s="5"/>
      <c r="B1049" s="7"/>
      <c r="C1049" s="29"/>
      <c r="D1049" s="11"/>
      <c r="E1049" s="9"/>
      <c r="F1049" s="11"/>
      <c r="G1049" s="9"/>
      <c r="H1049" s="11"/>
      <c r="I1049" s="240"/>
      <c r="J1049" s="162"/>
      <c r="K1049" s="169"/>
      <c r="L1049" s="162"/>
    </row>
    <row r="1050" spans="1:12" s="3" customFormat="1" ht="15" x14ac:dyDescent="0.25">
      <c r="A1050" s="18"/>
      <c r="B1050" s="19" t="s">
        <v>429</v>
      </c>
      <c r="C1050" s="28">
        <f>C1048</f>
        <v>-11227716</v>
      </c>
      <c r="D1050" s="36">
        <f t="shared" ref="D1050:L1050" si="449">D1048</f>
        <v>-591550.68999999994</v>
      </c>
      <c r="E1050" s="28">
        <f t="shared" si="449"/>
        <v>0</v>
      </c>
      <c r="F1050" s="36">
        <f t="shared" si="449"/>
        <v>-3223889.16</v>
      </c>
      <c r="G1050" s="28">
        <f t="shared" si="449"/>
        <v>-8003826.8399999999</v>
      </c>
      <c r="H1050" s="21">
        <v>28.71</v>
      </c>
      <c r="I1050" s="243">
        <f t="shared" si="449"/>
        <v>1995322.5</v>
      </c>
      <c r="J1050" s="172">
        <f t="shared" si="449"/>
        <v>-9232393.5</v>
      </c>
      <c r="K1050" s="236">
        <f t="shared" si="449"/>
        <v>-8830666.5500000007</v>
      </c>
      <c r="L1050" s="172">
        <f t="shared" si="449"/>
        <v>-9360506.5429999996</v>
      </c>
    </row>
    <row r="1051" spans="1:12" s="3" customFormat="1" ht="15" x14ac:dyDescent="0.25">
      <c r="A1051" s="18"/>
      <c r="B1051" s="19"/>
      <c r="C1051" s="28"/>
      <c r="D1051" s="21"/>
      <c r="E1051" s="20"/>
      <c r="F1051" s="21"/>
      <c r="G1051" s="20"/>
      <c r="H1051" s="21"/>
      <c r="I1051" s="238"/>
      <c r="J1051" s="168"/>
      <c r="K1051" s="178"/>
      <c r="L1051" s="168"/>
    </row>
    <row r="1052" spans="1:12" s="3" customFormat="1" ht="15" x14ac:dyDescent="0.25">
      <c r="A1052" s="18"/>
      <c r="B1052" s="19" t="s">
        <v>430</v>
      </c>
      <c r="C1052" s="28"/>
      <c r="D1052" s="21"/>
      <c r="E1052" s="20"/>
      <c r="F1052" s="21"/>
      <c r="G1052" s="20"/>
      <c r="H1052" s="21"/>
      <c r="I1052" s="238"/>
      <c r="J1052" s="168"/>
      <c r="K1052" s="178"/>
      <c r="L1052" s="168"/>
    </row>
    <row r="1053" spans="1:12" s="3" customFormat="1" ht="15" x14ac:dyDescent="0.25">
      <c r="A1053" s="18"/>
      <c r="B1053" s="19"/>
      <c r="C1053" s="28"/>
      <c r="D1053" s="21"/>
      <c r="E1053" s="20"/>
      <c r="F1053" s="21"/>
      <c r="G1053" s="20"/>
      <c r="H1053" s="21"/>
      <c r="I1053" s="238"/>
      <c r="J1053" s="168"/>
      <c r="K1053" s="178"/>
      <c r="L1053" s="168"/>
    </row>
    <row r="1054" spans="1:12" s="3" customFormat="1" ht="15" x14ac:dyDescent="0.25">
      <c r="A1054" s="18"/>
      <c r="B1054" s="19" t="s">
        <v>431</v>
      </c>
      <c r="C1054" s="28"/>
      <c r="D1054" s="21"/>
      <c r="E1054" s="20"/>
      <c r="F1054" s="21"/>
      <c r="G1054" s="20"/>
      <c r="H1054" s="21"/>
      <c r="I1054" s="238"/>
      <c r="J1054" s="168"/>
      <c r="K1054" s="178"/>
      <c r="L1054" s="168"/>
    </row>
    <row r="1055" spans="1:12" s="3" customFormat="1" ht="15" x14ac:dyDescent="0.25">
      <c r="A1055" s="18"/>
      <c r="B1055" s="19"/>
      <c r="C1055" s="28"/>
      <c r="D1055" s="21"/>
      <c r="E1055" s="20"/>
      <c r="F1055" s="21"/>
      <c r="G1055" s="20"/>
      <c r="H1055" s="21"/>
      <c r="I1055" s="238"/>
      <c r="J1055" s="168"/>
      <c r="K1055" s="178"/>
      <c r="L1055" s="168"/>
    </row>
    <row r="1056" spans="1:12" x14ac:dyDescent="0.2">
      <c r="A1056" s="5" t="s">
        <v>841</v>
      </c>
      <c r="B1056" s="7" t="s">
        <v>433</v>
      </c>
      <c r="C1056" s="29">
        <f>C1001</f>
        <v>17375457</v>
      </c>
      <c r="D1056" s="37">
        <f t="shared" ref="D1056:G1056" si="450">D1001</f>
        <v>1326698.3400000001</v>
      </c>
      <c r="E1056" s="29">
        <f t="shared" si="450"/>
        <v>62033.86</v>
      </c>
      <c r="F1056" s="37">
        <f t="shared" si="450"/>
        <v>8269700.6900000004</v>
      </c>
      <c r="G1056" s="29">
        <f t="shared" si="450"/>
        <v>9043722.4499999993</v>
      </c>
      <c r="H1056" s="11">
        <v>47.59</v>
      </c>
      <c r="I1056" s="240">
        <f>I1001</f>
        <v>172357.90000000002</v>
      </c>
      <c r="J1056" s="109">
        <f t="shared" ref="J1056:L1056" si="451">J1001</f>
        <v>17547814.899999999</v>
      </c>
      <c r="K1056" s="229">
        <f t="shared" si="451"/>
        <v>17648762.294</v>
      </c>
      <c r="L1056" s="109">
        <f t="shared" si="451"/>
        <v>18707688.031640001</v>
      </c>
    </row>
    <row r="1057" spans="1:13" x14ac:dyDescent="0.2">
      <c r="A1057" s="5" t="s">
        <v>842</v>
      </c>
      <c r="B1057" s="7" t="s">
        <v>429</v>
      </c>
      <c r="C1057" s="29">
        <f>C1050</f>
        <v>-11227716</v>
      </c>
      <c r="D1057" s="37">
        <f t="shared" ref="D1057:G1057" si="452">D1050</f>
        <v>-591550.68999999994</v>
      </c>
      <c r="E1057" s="29">
        <f t="shared" si="452"/>
        <v>0</v>
      </c>
      <c r="F1057" s="37">
        <f t="shared" si="452"/>
        <v>-3223889.16</v>
      </c>
      <c r="G1057" s="29">
        <f t="shared" si="452"/>
        <v>-8003826.8399999999</v>
      </c>
      <c r="H1057" s="11">
        <v>28.71</v>
      </c>
      <c r="I1057" s="240">
        <f>I1050</f>
        <v>1995322.5</v>
      </c>
      <c r="J1057" s="109">
        <f t="shared" ref="J1057:L1057" si="453">J1050</f>
        <v>-9232393.5</v>
      </c>
      <c r="K1057" s="229">
        <f t="shared" si="453"/>
        <v>-8830666.5500000007</v>
      </c>
      <c r="L1057" s="109">
        <f t="shared" si="453"/>
        <v>-9360506.5429999996</v>
      </c>
    </row>
    <row r="1058" spans="1:13" x14ac:dyDescent="0.2">
      <c r="A1058" s="5"/>
      <c r="B1058" s="7"/>
      <c r="C1058" s="29"/>
      <c r="D1058" s="11"/>
      <c r="E1058" s="9"/>
      <c r="F1058" s="11"/>
      <c r="G1058" s="9"/>
      <c r="H1058" s="11"/>
      <c r="I1058" s="240"/>
      <c r="J1058" s="162"/>
      <c r="K1058" s="169"/>
      <c r="L1058" s="162"/>
    </row>
    <row r="1059" spans="1:13" s="3" customFormat="1" ht="15" x14ac:dyDescent="0.25">
      <c r="A1059" s="18"/>
      <c r="B1059" s="19" t="s">
        <v>435</v>
      </c>
      <c r="C1059" s="28">
        <f>C1056+C1057</f>
        <v>6147741</v>
      </c>
      <c r="D1059" s="36">
        <f t="shared" ref="D1059:L1059" si="454">D1056+D1057</f>
        <v>735147.65000000014</v>
      </c>
      <c r="E1059" s="28">
        <f t="shared" si="454"/>
        <v>62033.86</v>
      </c>
      <c r="F1059" s="36">
        <f t="shared" si="454"/>
        <v>5045811.53</v>
      </c>
      <c r="G1059" s="28">
        <f t="shared" si="454"/>
        <v>1039895.6099999994</v>
      </c>
      <c r="H1059" s="21">
        <v>82.07</v>
      </c>
      <c r="I1059" s="243">
        <f t="shared" si="454"/>
        <v>2167680.4</v>
      </c>
      <c r="J1059" s="172">
        <f t="shared" si="454"/>
        <v>8315421.3999999985</v>
      </c>
      <c r="K1059" s="236">
        <f t="shared" si="454"/>
        <v>8818095.743999999</v>
      </c>
      <c r="L1059" s="172">
        <f t="shared" si="454"/>
        <v>9347181.488640001</v>
      </c>
    </row>
    <row r="1060" spans="1:13" x14ac:dyDescent="0.2">
      <c r="A1060" s="5"/>
      <c r="B1060" s="7"/>
      <c r="C1060" s="29"/>
      <c r="D1060" s="11"/>
      <c r="E1060" s="9"/>
      <c r="F1060" s="11"/>
      <c r="G1060" s="9"/>
      <c r="H1060" s="11"/>
      <c r="I1060" s="240"/>
      <c r="J1060" s="162"/>
      <c r="K1060" s="169"/>
      <c r="L1060" s="162"/>
    </row>
    <row r="1061" spans="1:13" s="3" customFormat="1" ht="15" x14ac:dyDescent="0.25">
      <c r="A1061" s="18"/>
      <c r="B1061" s="19" t="s">
        <v>436</v>
      </c>
      <c r="C1061" s="28">
        <f>C1059</f>
        <v>6147741</v>
      </c>
      <c r="D1061" s="36">
        <f t="shared" ref="D1061:G1061" si="455">D1059</f>
        <v>735147.65000000014</v>
      </c>
      <c r="E1061" s="28">
        <f t="shared" si="455"/>
        <v>62033.86</v>
      </c>
      <c r="F1061" s="36">
        <f t="shared" si="455"/>
        <v>5045811.53</v>
      </c>
      <c r="G1061" s="28">
        <f t="shared" si="455"/>
        <v>1039895.6099999994</v>
      </c>
      <c r="H1061" s="21">
        <v>82.07</v>
      </c>
      <c r="I1061" s="243">
        <f t="shared" ref="I1061:L1061" si="456">I1059</f>
        <v>2167680.4</v>
      </c>
      <c r="J1061" s="172">
        <f t="shared" si="456"/>
        <v>8315421.3999999985</v>
      </c>
      <c r="K1061" s="236">
        <f t="shared" si="456"/>
        <v>8818095.743999999</v>
      </c>
      <c r="L1061" s="172">
        <f t="shared" si="456"/>
        <v>9347181.488640001</v>
      </c>
    </row>
    <row r="1062" spans="1:13" x14ac:dyDescent="0.2">
      <c r="A1062" s="5"/>
      <c r="B1062" s="7"/>
      <c r="C1062" s="29"/>
      <c r="D1062" s="11"/>
      <c r="E1062" s="9"/>
      <c r="F1062" s="11"/>
      <c r="G1062" s="9"/>
      <c r="H1062" s="11"/>
      <c r="I1062" s="240"/>
      <c r="J1062" s="162"/>
      <c r="K1062" s="169"/>
      <c r="L1062" s="162"/>
    </row>
    <row r="1063" spans="1:13" s="3" customFormat="1" ht="15" x14ac:dyDescent="0.25">
      <c r="A1063" s="18"/>
      <c r="B1063" s="19" t="s">
        <v>437</v>
      </c>
      <c r="C1063" s="28"/>
      <c r="D1063" s="21"/>
      <c r="E1063" s="20"/>
      <c r="F1063" s="21"/>
      <c r="G1063" s="20"/>
      <c r="H1063" s="21"/>
      <c r="I1063" s="238"/>
      <c r="J1063" s="168"/>
      <c r="K1063" s="178"/>
      <c r="L1063" s="168"/>
    </row>
    <row r="1064" spans="1:13" x14ac:dyDescent="0.2">
      <c r="A1064" s="5"/>
      <c r="B1064" s="7"/>
      <c r="C1064" s="29"/>
      <c r="D1064" s="11"/>
      <c r="E1064" s="9"/>
      <c r="F1064" s="11"/>
      <c r="G1064" s="9"/>
      <c r="H1064" s="11"/>
      <c r="I1064" s="240"/>
      <c r="J1064" s="162"/>
      <c r="K1064" s="169"/>
      <c r="L1064" s="162"/>
    </row>
    <row r="1065" spans="1:13" x14ac:dyDescent="0.2">
      <c r="A1065" s="5" t="s">
        <v>843</v>
      </c>
      <c r="B1065" s="7" t="s">
        <v>632</v>
      </c>
      <c r="C1065" s="29">
        <v>0</v>
      </c>
      <c r="D1065" s="11">
        <v>0</v>
      </c>
      <c r="E1065" s="9">
        <v>0</v>
      </c>
      <c r="F1065" s="11">
        <v>0</v>
      </c>
      <c r="G1065" s="9">
        <v>0</v>
      </c>
      <c r="H1065" s="11">
        <v>0</v>
      </c>
      <c r="I1065" s="240">
        <f>'Community services'!I145</f>
        <v>0</v>
      </c>
      <c r="J1065" s="162">
        <f>C1065+I1065</f>
        <v>0</v>
      </c>
      <c r="K1065" s="169"/>
      <c r="L1065" s="162"/>
    </row>
    <row r="1066" spans="1:13" s="115" customFormat="1" x14ac:dyDescent="0.2">
      <c r="A1066" s="110" t="s">
        <v>1045</v>
      </c>
      <c r="B1066" s="111" t="s">
        <v>1046</v>
      </c>
      <c r="C1066" s="112">
        <v>0</v>
      </c>
      <c r="D1066" s="113"/>
      <c r="E1066" s="112"/>
      <c r="F1066" s="113">
        <v>0</v>
      </c>
      <c r="G1066" s="112"/>
      <c r="H1066" s="113">
        <v>0</v>
      </c>
      <c r="I1066" s="112">
        <f>'Community services'!I146</f>
        <v>0</v>
      </c>
      <c r="J1066" s="162">
        <f t="shared" ref="J1066:J1073" si="457">C1066+I1066</f>
        <v>0</v>
      </c>
      <c r="K1066" s="112">
        <f>'Community services'!K146</f>
        <v>700000</v>
      </c>
      <c r="L1066" s="113">
        <f>'Community services'!L146</f>
        <v>800000</v>
      </c>
      <c r="M1066" s="114"/>
    </row>
    <row r="1067" spans="1:13" s="115" customFormat="1" x14ac:dyDescent="0.2">
      <c r="A1067" s="110"/>
      <c r="B1067" s="111" t="s">
        <v>1048</v>
      </c>
      <c r="C1067" s="112"/>
      <c r="D1067" s="113"/>
      <c r="E1067" s="112"/>
      <c r="F1067" s="113"/>
      <c r="G1067" s="112"/>
      <c r="H1067" s="113"/>
      <c r="I1067" s="112">
        <f>'Community services'!I147</f>
        <v>0</v>
      </c>
      <c r="J1067" s="162">
        <f t="shared" si="457"/>
        <v>0</v>
      </c>
      <c r="K1067" s="112">
        <f>'Community services'!K147</f>
        <v>0</v>
      </c>
      <c r="L1067" s="113">
        <f>'Community services'!L147</f>
        <v>700000</v>
      </c>
      <c r="M1067" s="114"/>
    </row>
    <row r="1068" spans="1:13" s="115" customFormat="1" x14ac:dyDescent="0.2">
      <c r="A1068" s="110"/>
      <c r="B1068" s="111" t="s">
        <v>1083</v>
      </c>
      <c r="C1068" s="112"/>
      <c r="D1068" s="113"/>
      <c r="E1068" s="112"/>
      <c r="F1068" s="113"/>
      <c r="G1068" s="112"/>
      <c r="H1068" s="113"/>
      <c r="I1068" s="112">
        <f>'Community services'!I148</f>
        <v>0</v>
      </c>
      <c r="J1068" s="162">
        <f t="shared" si="457"/>
        <v>0</v>
      </c>
      <c r="K1068" s="112">
        <f>'Community services'!K148</f>
        <v>500000</v>
      </c>
      <c r="L1068" s="113">
        <f>'Community services'!L148</f>
        <v>0</v>
      </c>
      <c r="M1068" s="114"/>
    </row>
    <row r="1069" spans="1:13" s="115" customFormat="1" x14ac:dyDescent="0.2">
      <c r="A1069" s="110"/>
      <c r="B1069" s="111" t="s">
        <v>1084</v>
      </c>
      <c r="C1069" s="112"/>
      <c r="D1069" s="113"/>
      <c r="E1069" s="112"/>
      <c r="F1069" s="113"/>
      <c r="G1069" s="112"/>
      <c r="H1069" s="113"/>
      <c r="I1069" s="112">
        <f>'Community services'!I149</f>
        <v>0</v>
      </c>
      <c r="J1069" s="162">
        <f t="shared" si="457"/>
        <v>0</v>
      </c>
      <c r="K1069" s="112">
        <f>'Community services'!K149</f>
        <v>300000</v>
      </c>
      <c r="L1069" s="113">
        <f>'Community services'!L149</f>
        <v>0</v>
      </c>
      <c r="M1069" s="114"/>
    </row>
    <row r="1070" spans="1:13" s="115" customFormat="1" x14ac:dyDescent="0.2">
      <c r="A1070" s="110"/>
      <c r="B1070" s="111" t="s">
        <v>1085</v>
      </c>
      <c r="C1070" s="112"/>
      <c r="D1070" s="113"/>
      <c r="E1070" s="112"/>
      <c r="F1070" s="113"/>
      <c r="G1070" s="112"/>
      <c r="H1070" s="113"/>
      <c r="I1070" s="112">
        <f>'Community services'!I150</f>
        <v>0</v>
      </c>
      <c r="J1070" s="162">
        <f t="shared" si="457"/>
        <v>0</v>
      </c>
      <c r="K1070" s="112">
        <f>'Community services'!K150</f>
        <v>120000</v>
      </c>
      <c r="L1070" s="113">
        <f>'Community services'!L150</f>
        <v>0</v>
      </c>
      <c r="M1070" s="114"/>
    </row>
    <row r="1071" spans="1:13" x14ac:dyDescent="0.2">
      <c r="A1071" s="5" t="s">
        <v>844</v>
      </c>
      <c r="B1071" s="7" t="s">
        <v>443</v>
      </c>
      <c r="C1071" s="29">
        <v>198424</v>
      </c>
      <c r="D1071" s="11">
        <v>0</v>
      </c>
      <c r="E1071" s="9">
        <v>0</v>
      </c>
      <c r="F1071" s="11">
        <v>0</v>
      </c>
      <c r="G1071" s="9">
        <v>198424</v>
      </c>
      <c r="H1071" s="11">
        <v>0</v>
      </c>
      <c r="I1071" s="240">
        <f>'Community services'!I151</f>
        <v>0</v>
      </c>
      <c r="J1071" s="162">
        <f t="shared" si="457"/>
        <v>198424</v>
      </c>
      <c r="K1071" s="169"/>
      <c r="L1071" s="162"/>
    </row>
    <row r="1072" spans="1:13" x14ac:dyDescent="0.2">
      <c r="A1072" s="5" t="s">
        <v>845</v>
      </c>
      <c r="B1072" s="7" t="s">
        <v>458</v>
      </c>
      <c r="C1072" s="29">
        <v>100000</v>
      </c>
      <c r="D1072" s="11">
        <v>0</v>
      </c>
      <c r="E1072" s="9">
        <v>87600</v>
      </c>
      <c r="F1072" s="11">
        <v>0</v>
      </c>
      <c r="G1072" s="9">
        <v>100000</v>
      </c>
      <c r="H1072" s="11">
        <v>0</v>
      </c>
      <c r="I1072" s="240">
        <f>'Community services'!I152</f>
        <v>0</v>
      </c>
      <c r="J1072" s="162">
        <f t="shared" si="457"/>
        <v>100000</v>
      </c>
      <c r="K1072" s="169"/>
      <c r="L1072" s="162"/>
    </row>
    <row r="1073" spans="1:12" x14ac:dyDescent="0.2">
      <c r="A1073" s="5" t="s">
        <v>846</v>
      </c>
      <c r="B1073" s="7" t="s">
        <v>460</v>
      </c>
      <c r="C1073" s="29">
        <v>500000</v>
      </c>
      <c r="D1073" s="11">
        <v>0</v>
      </c>
      <c r="E1073" s="9">
        <v>0</v>
      </c>
      <c r="F1073" s="11">
        <v>0</v>
      </c>
      <c r="G1073" s="9">
        <v>500000</v>
      </c>
      <c r="H1073" s="11">
        <v>0</v>
      </c>
      <c r="I1073" s="240">
        <f>'Community services'!I153</f>
        <v>0</v>
      </c>
      <c r="J1073" s="162">
        <f t="shared" si="457"/>
        <v>500000</v>
      </c>
      <c r="K1073" s="169"/>
      <c r="L1073" s="162"/>
    </row>
    <row r="1074" spans="1:12" x14ac:dyDescent="0.2">
      <c r="A1074" s="5"/>
      <c r="B1074" s="7"/>
      <c r="C1074" s="29"/>
      <c r="D1074" s="11"/>
      <c r="E1074" s="9"/>
      <c r="F1074" s="11"/>
      <c r="G1074" s="9"/>
      <c r="H1074" s="11"/>
      <c r="I1074" s="240"/>
      <c r="J1074" s="162"/>
      <c r="K1074" s="169"/>
      <c r="L1074" s="162"/>
    </row>
    <row r="1075" spans="1:12" s="3" customFormat="1" ht="15" x14ac:dyDescent="0.25">
      <c r="A1075" s="18"/>
      <c r="B1075" s="19" t="s">
        <v>471</v>
      </c>
      <c r="C1075" s="28">
        <f>SUM(C1065:C1074)</f>
        <v>798424</v>
      </c>
      <c r="D1075" s="36">
        <f t="shared" ref="D1075:G1075" si="458">SUM(D1065:D1074)</f>
        <v>0</v>
      </c>
      <c r="E1075" s="28">
        <f t="shared" si="458"/>
        <v>87600</v>
      </c>
      <c r="F1075" s="36">
        <f t="shared" si="458"/>
        <v>0</v>
      </c>
      <c r="G1075" s="28">
        <f t="shared" si="458"/>
        <v>798424</v>
      </c>
      <c r="H1075" s="21">
        <v>0</v>
      </c>
      <c r="I1075" s="243">
        <f t="shared" ref="I1075" si="459">SUM(I1065:I1074)</f>
        <v>0</v>
      </c>
      <c r="J1075" s="172">
        <f t="shared" ref="J1075" si="460">SUM(J1065:J1074)</f>
        <v>798424</v>
      </c>
      <c r="K1075" s="236">
        <f t="shared" ref="K1075" si="461">SUM(K1065:K1074)</f>
        <v>1620000</v>
      </c>
      <c r="L1075" s="172">
        <f t="shared" ref="L1075" si="462">SUM(L1065:L1074)</f>
        <v>1500000</v>
      </c>
    </row>
    <row r="1076" spans="1:12" x14ac:dyDescent="0.2">
      <c r="A1076" s="5"/>
      <c r="B1076" s="7"/>
      <c r="C1076" s="29"/>
      <c r="D1076" s="11"/>
      <c r="E1076" s="9"/>
      <c r="F1076" s="11"/>
      <c r="G1076" s="9"/>
      <c r="H1076" s="11"/>
      <c r="I1076" s="240"/>
      <c r="J1076" s="162"/>
      <c r="K1076" s="169"/>
      <c r="L1076" s="162"/>
    </row>
    <row r="1077" spans="1:12" s="3" customFormat="1" ht="15" x14ac:dyDescent="0.25">
      <c r="A1077" s="18"/>
      <c r="B1077" s="19" t="s">
        <v>472</v>
      </c>
      <c r="C1077" s="28">
        <f>C1075</f>
        <v>798424</v>
      </c>
      <c r="D1077" s="36">
        <f t="shared" ref="D1077:G1077" si="463">D1075</f>
        <v>0</v>
      </c>
      <c r="E1077" s="28">
        <f t="shared" si="463"/>
        <v>87600</v>
      </c>
      <c r="F1077" s="36">
        <f t="shared" si="463"/>
        <v>0</v>
      </c>
      <c r="G1077" s="28">
        <f t="shared" si="463"/>
        <v>798424</v>
      </c>
      <c r="H1077" s="21">
        <v>0</v>
      </c>
      <c r="I1077" s="243">
        <f t="shared" ref="I1077:L1077" si="464">I1075</f>
        <v>0</v>
      </c>
      <c r="J1077" s="172">
        <f t="shared" si="464"/>
        <v>798424</v>
      </c>
      <c r="K1077" s="236">
        <f t="shared" si="464"/>
        <v>1620000</v>
      </c>
      <c r="L1077" s="172">
        <f t="shared" si="464"/>
        <v>1500000</v>
      </c>
    </row>
    <row r="1078" spans="1:12" s="3" customFormat="1" ht="15" x14ac:dyDescent="0.25">
      <c r="A1078" s="18"/>
      <c r="B1078" s="19"/>
      <c r="C1078" s="28"/>
      <c r="D1078" s="21"/>
      <c r="E1078" s="20"/>
      <c r="F1078" s="21"/>
      <c r="G1078" s="20"/>
      <c r="H1078" s="21"/>
      <c r="I1078" s="238"/>
      <c r="J1078" s="168"/>
      <c r="K1078" s="178"/>
      <c r="L1078" s="168"/>
    </row>
    <row r="1079" spans="1:12" s="3" customFormat="1" ht="15" x14ac:dyDescent="0.25">
      <c r="A1079" s="18"/>
      <c r="B1079" s="19" t="s">
        <v>473</v>
      </c>
      <c r="C1079" s="28"/>
      <c r="D1079" s="21"/>
      <c r="E1079" s="20"/>
      <c r="F1079" s="21"/>
      <c r="G1079" s="20"/>
      <c r="H1079" s="21"/>
      <c r="I1079" s="238"/>
      <c r="J1079" s="168"/>
      <c r="K1079" s="178"/>
      <c r="L1079" s="168"/>
    </row>
    <row r="1080" spans="1:12" s="3" customFormat="1" ht="15" x14ac:dyDescent="0.25">
      <c r="A1080" s="18"/>
      <c r="B1080" s="19"/>
      <c r="C1080" s="28"/>
      <c r="D1080" s="21"/>
      <c r="E1080" s="20"/>
      <c r="F1080" s="21"/>
      <c r="G1080" s="20"/>
      <c r="H1080" s="21"/>
      <c r="I1080" s="238"/>
      <c r="J1080" s="168"/>
      <c r="K1080" s="178"/>
      <c r="L1080" s="168"/>
    </row>
    <row r="1081" spans="1:12" x14ac:dyDescent="0.2">
      <c r="A1081" s="5" t="s">
        <v>847</v>
      </c>
      <c r="B1081" s="7" t="s">
        <v>443</v>
      </c>
      <c r="C1081" s="29">
        <v>401576</v>
      </c>
      <c r="D1081" s="11">
        <v>0</v>
      </c>
      <c r="E1081" s="9">
        <v>0</v>
      </c>
      <c r="F1081" s="11">
        <v>0</v>
      </c>
      <c r="G1081" s="9">
        <v>401576</v>
      </c>
      <c r="H1081" s="11">
        <v>0</v>
      </c>
      <c r="I1081" s="240">
        <f>'Community services'!I161</f>
        <v>0</v>
      </c>
      <c r="J1081" s="109">
        <f>C1081+I1081</f>
        <v>401576</v>
      </c>
      <c r="K1081" s="229">
        <f>'Community services'!K161</f>
        <v>0</v>
      </c>
      <c r="L1081" s="109">
        <f>'Community services'!L161</f>
        <v>0</v>
      </c>
    </row>
    <row r="1082" spans="1:12" x14ac:dyDescent="0.2">
      <c r="A1082" s="5" t="s">
        <v>848</v>
      </c>
      <c r="B1082" s="7" t="s">
        <v>849</v>
      </c>
      <c r="C1082" s="29">
        <v>4502550</v>
      </c>
      <c r="D1082" s="11">
        <v>0</v>
      </c>
      <c r="E1082" s="9">
        <v>0</v>
      </c>
      <c r="F1082" s="11">
        <v>1567111.7</v>
      </c>
      <c r="G1082" s="9">
        <v>2935438.3</v>
      </c>
      <c r="H1082" s="11">
        <v>34.799999999999997</v>
      </c>
      <c r="I1082" s="240">
        <f>'Community services'!I162</f>
        <v>0</v>
      </c>
      <c r="J1082" s="109">
        <f>C1082+I1082</f>
        <v>4502550</v>
      </c>
      <c r="K1082" s="229">
        <f>'Community services'!K162</f>
        <v>4664550</v>
      </c>
      <c r="L1082" s="109">
        <f>'Community services'!L162</f>
        <v>4907250</v>
      </c>
    </row>
    <row r="1083" spans="1:12" x14ac:dyDescent="0.2">
      <c r="A1083" s="5"/>
      <c r="B1083" s="7"/>
      <c r="C1083" s="29"/>
      <c r="D1083" s="11"/>
      <c r="E1083" s="9"/>
      <c r="F1083" s="11"/>
      <c r="G1083" s="9"/>
      <c r="H1083" s="11"/>
      <c r="I1083" s="240"/>
      <c r="J1083" s="162"/>
      <c r="K1083" s="169"/>
      <c r="L1083" s="162"/>
    </row>
    <row r="1084" spans="1:12" s="3" customFormat="1" ht="15" x14ac:dyDescent="0.25">
      <c r="A1084" s="18"/>
      <c r="B1084" s="19" t="s">
        <v>494</v>
      </c>
      <c r="C1084" s="28">
        <f>SUM(C1081:C1083)</f>
        <v>4904126</v>
      </c>
      <c r="D1084" s="36">
        <f t="shared" ref="D1084:G1084" si="465">SUM(D1081:D1083)</f>
        <v>0</v>
      </c>
      <c r="E1084" s="28">
        <f t="shared" si="465"/>
        <v>0</v>
      </c>
      <c r="F1084" s="36">
        <f t="shared" si="465"/>
        <v>1567111.7</v>
      </c>
      <c r="G1084" s="28">
        <f t="shared" si="465"/>
        <v>3337014.3</v>
      </c>
      <c r="H1084" s="21">
        <v>31.95</v>
      </c>
      <c r="I1084" s="243">
        <f t="shared" ref="I1084:L1084" si="466">SUM(I1081:I1083)</f>
        <v>0</v>
      </c>
      <c r="J1084" s="172">
        <f t="shared" si="466"/>
        <v>4904126</v>
      </c>
      <c r="K1084" s="236">
        <f t="shared" si="466"/>
        <v>4664550</v>
      </c>
      <c r="L1084" s="172">
        <f t="shared" si="466"/>
        <v>4907250</v>
      </c>
    </row>
    <row r="1085" spans="1:12" x14ac:dyDescent="0.2">
      <c r="A1085" s="5"/>
      <c r="B1085" s="7"/>
      <c r="C1085" s="29"/>
      <c r="D1085" s="11"/>
      <c r="E1085" s="9"/>
      <c r="F1085" s="11"/>
      <c r="G1085" s="9"/>
      <c r="H1085" s="11"/>
      <c r="I1085" s="240"/>
      <c r="J1085" s="162"/>
      <c r="K1085" s="169"/>
      <c r="L1085" s="162"/>
    </row>
    <row r="1086" spans="1:12" s="3" customFormat="1" ht="15" x14ac:dyDescent="0.25">
      <c r="A1086" s="18"/>
      <c r="B1086" s="19" t="s">
        <v>495</v>
      </c>
      <c r="C1086" s="28">
        <f>C1084</f>
        <v>4904126</v>
      </c>
      <c r="D1086" s="36">
        <f t="shared" ref="D1086:L1086" si="467">D1084</f>
        <v>0</v>
      </c>
      <c r="E1086" s="28">
        <f t="shared" si="467"/>
        <v>0</v>
      </c>
      <c r="F1086" s="36">
        <f t="shared" si="467"/>
        <v>1567111.7</v>
      </c>
      <c r="G1086" s="28">
        <f t="shared" si="467"/>
        <v>3337014.3</v>
      </c>
      <c r="H1086" s="21">
        <v>31.95</v>
      </c>
      <c r="I1086" s="243">
        <f t="shared" si="467"/>
        <v>0</v>
      </c>
      <c r="J1086" s="172">
        <f t="shared" si="467"/>
        <v>4904126</v>
      </c>
      <c r="K1086" s="236">
        <f t="shared" si="467"/>
        <v>4664550</v>
      </c>
      <c r="L1086" s="172">
        <f t="shared" si="467"/>
        <v>4907250</v>
      </c>
    </row>
    <row r="1087" spans="1:12" x14ac:dyDescent="0.2">
      <c r="A1087" s="5"/>
      <c r="B1087" s="7"/>
      <c r="C1087" s="29"/>
      <c r="D1087" s="11"/>
      <c r="E1087" s="9"/>
      <c r="F1087" s="11"/>
      <c r="G1087" s="9"/>
      <c r="H1087" s="11"/>
      <c r="I1087" s="240"/>
      <c r="J1087" s="162"/>
      <c r="K1087" s="169"/>
      <c r="L1087" s="162"/>
    </row>
    <row r="1088" spans="1:12" s="3" customFormat="1" ht="15" x14ac:dyDescent="0.25">
      <c r="A1088" s="18"/>
      <c r="B1088" s="19" t="s">
        <v>496</v>
      </c>
      <c r="C1088" s="28">
        <f>C1077+C1086</f>
        <v>5702550</v>
      </c>
      <c r="D1088" s="36">
        <f t="shared" ref="D1088:L1088" si="468">D1077+D1086</f>
        <v>0</v>
      </c>
      <c r="E1088" s="28">
        <f t="shared" si="468"/>
        <v>87600</v>
      </c>
      <c r="F1088" s="36">
        <f t="shared" si="468"/>
        <v>1567111.7</v>
      </c>
      <c r="G1088" s="28">
        <f t="shared" si="468"/>
        <v>4135438.3</v>
      </c>
      <c r="H1088" s="21">
        <f>F1088/C1088*100</f>
        <v>27.480893635303506</v>
      </c>
      <c r="I1088" s="28">
        <f t="shared" si="468"/>
        <v>0</v>
      </c>
      <c r="J1088" s="172">
        <f t="shared" si="468"/>
        <v>5702550</v>
      </c>
      <c r="K1088" s="236">
        <f t="shared" si="468"/>
        <v>6284550</v>
      </c>
      <c r="L1088" s="172">
        <f t="shared" si="468"/>
        <v>6407250</v>
      </c>
    </row>
    <row r="1089" spans="1:12" x14ac:dyDescent="0.2">
      <c r="A1089" s="5"/>
      <c r="B1089" s="7"/>
      <c r="C1089" s="29"/>
      <c r="D1089" s="11"/>
      <c r="E1089" s="9"/>
      <c r="F1089" s="11"/>
      <c r="G1089" s="9"/>
      <c r="H1089" s="11"/>
      <c r="I1089" s="240"/>
      <c r="J1089" s="162"/>
      <c r="K1089" s="169"/>
      <c r="L1089" s="162"/>
    </row>
    <row r="1090" spans="1:12" s="3" customFormat="1" ht="15" x14ac:dyDescent="0.25">
      <c r="A1090" s="18"/>
      <c r="B1090" s="19" t="s">
        <v>852</v>
      </c>
      <c r="C1090" s="28"/>
      <c r="D1090" s="21"/>
      <c r="E1090" s="20"/>
      <c r="F1090" s="21"/>
      <c r="G1090" s="20"/>
      <c r="H1090" s="21"/>
      <c r="I1090" s="238"/>
      <c r="J1090" s="168"/>
      <c r="K1090" s="178"/>
      <c r="L1090" s="168"/>
    </row>
    <row r="1091" spans="1:12" s="3" customFormat="1" ht="15" x14ac:dyDescent="0.25">
      <c r="A1091" s="18"/>
      <c r="B1091" s="19"/>
      <c r="C1091" s="28"/>
      <c r="D1091" s="21"/>
      <c r="E1091" s="20"/>
      <c r="F1091" s="21"/>
      <c r="G1091" s="20"/>
      <c r="H1091" s="21"/>
      <c r="I1091" s="238"/>
      <c r="J1091" s="168"/>
      <c r="K1091" s="178"/>
      <c r="L1091" s="168"/>
    </row>
    <row r="1092" spans="1:12" s="3" customFormat="1" ht="15" x14ac:dyDescent="0.25">
      <c r="A1092" s="18"/>
      <c r="B1092" s="19" t="s">
        <v>9</v>
      </c>
      <c r="C1092" s="28"/>
      <c r="D1092" s="21"/>
      <c r="E1092" s="20"/>
      <c r="F1092" s="21"/>
      <c r="G1092" s="20"/>
      <c r="H1092" s="21"/>
      <c r="I1092" s="238"/>
      <c r="J1092" s="168"/>
      <c r="K1092" s="178"/>
      <c r="L1092" s="168"/>
    </row>
    <row r="1093" spans="1:12" s="3" customFormat="1" ht="15" x14ac:dyDescent="0.25">
      <c r="A1093" s="18"/>
      <c r="B1093" s="19"/>
      <c r="C1093" s="28"/>
      <c r="D1093" s="21"/>
      <c r="E1093" s="20"/>
      <c r="F1093" s="21"/>
      <c r="G1093" s="20"/>
      <c r="H1093" s="21"/>
      <c r="I1093" s="238"/>
      <c r="J1093" s="168"/>
      <c r="K1093" s="178"/>
      <c r="L1093" s="168"/>
    </row>
    <row r="1094" spans="1:12" s="3" customFormat="1" ht="15" x14ac:dyDescent="0.25">
      <c r="A1094" s="18"/>
      <c r="B1094" s="19" t="s">
        <v>10</v>
      </c>
      <c r="C1094" s="28"/>
      <c r="D1094" s="21"/>
      <c r="E1094" s="20"/>
      <c r="F1094" s="21"/>
      <c r="G1094" s="20"/>
      <c r="H1094" s="21"/>
      <c r="I1094" s="238"/>
      <c r="J1094" s="168"/>
      <c r="K1094" s="178"/>
      <c r="L1094" s="168"/>
    </row>
    <row r="1095" spans="1:12" s="3" customFormat="1" ht="15" x14ac:dyDescent="0.25">
      <c r="A1095" s="18"/>
      <c r="B1095" s="19"/>
      <c r="C1095" s="28"/>
      <c r="D1095" s="21"/>
      <c r="E1095" s="20"/>
      <c r="F1095" s="21"/>
      <c r="G1095" s="20"/>
      <c r="H1095" s="21"/>
      <c r="I1095" s="238"/>
      <c r="J1095" s="168"/>
      <c r="K1095" s="178"/>
      <c r="L1095" s="168"/>
    </row>
    <row r="1096" spans="1:12" s="3" customFormat="1" ht="15" x14ac:dyDescent="0.25">
      <c r="A1096" s="18"/>
      <c r="B1096" s="19" t="s">
        <v>11</v>
      </c>
      <c r="C1096" s="28"/>
      <c r="D1096" s="21"/>
      <c r="E1096" s="20"/>
      <c r="F1096" s="21"/>
      <c r="G1096" s="20"/>
      <c r="H1096" s="21"/>
      <c r="I1096" s="238"/>
      <c r="J1096" s="168"/>
      <c r="K1096" s="178"/>
      <c r="L1096" s="168"/>
    </row>
    <row r="1097" spans="1:12" s="3" customFormat="1" ht="15" x14ac:dyDescent="0.25">
      <c r="A1097" s="18"/>
      <c r="B1097" s="19"/>
      <c r="C1097" s="28"/>
      <c r="D1097" s="21"/>
      <c r="E1097" s="20"/>
      <c r="F1097" s="21"/>
      <c r="G1097" s="20"/>
      <c r="H1097" s="21"/>
      <c r="I1097" s="238"/>
      <c r="J1097" s="168"/>
      <c r="K1097" s="178"/>
      <c r="L1097" s="168"/>
    </row>
    <row r="1098" spans="1:12" x14ac:dyDescent="0.2">
      <c r="A1098" s="5" t="s">
        <v>853</v>
      </c>
      <c r="B1098" s="7" t="s">
        <v>13</v>
      </c>
      <c r="C1098" s="29">
        <v>159051</v>
      </c>
      <c r="D1098" s="11">
        <v>15904.12</v>
      </c>
      <c r="E1098" s="9">
        <v>0</v>
      </c>
      <c r="F1098" s="11">
        <v>56752.53</v>
      </c>
      <c r="G1098" s="9">
        <f>C1098-E1098-F1098</f>
        <v>102298.47</v>
      </c>
      <c r="H1098" s="11">
        <v>35.68</v>
      </c>
      <c r="I1098" s="240">
        <f>'Tech-Roads'!I10</f>
        <v>0</v>
      </c>
      <c r="J1098" s="109">
        <f>'Tech-Roads'!J10</f>
        <v>159051</v>
      </c>
      <c r="K1098" s="229">
        <f>'Tech-Roads'!K10</f>
        <v>168594.06</v>
      </c>
      <c r="L1098" s="109">
        <f>'Tech-Roads'!L10</f>
        <v>178709.70360000001</v>
      </c>
    </row>
    <row r="1099" spans="1:12" x14ac:dyDescent="0.2">
      <c r="A1099" s="5" t="s">
        <v>854</v>
      </c>
      <c r="B1099" s="7" t="s">
        <v>15</v>
      </c>
      <c r="C1099" s="29">
        <v>0</v>
      </c>
      <c r="D1099" s="11">
        <v>0</v>
      </c>
      <c r="E1099" s="9">
        <v>0</v>
      </c>
      <c r="F1099" s="11">
        <v>0</v>
      </c>
      <c r="G1099" s="9">
        <f t="shared" ref="G1099:G1114" si="469">C1099-E1099-F1099</f>
        <v>0</v>
      </c>
      <c r="H1099" s="11">
        <v>0</v>
      </c>
      <c r="I1099" s="240">
        <f>'Tech-Roads'!I11</f>
        <v>0</v>
      </c>
      <c r="J1099" s="109">
        <f>'Tech-Roads'!J11</f>
        <v>0</v>
      </c>
      <c r="K1099" s="229">
        <f>'Tech-Roads'!K11</f>
        <v>0</v>
      </c>
      <c r="L1099" s="109">
        <f>'Tech-Roads'!L11</f>
        <v>0</v>
      </c>
    </row>
    <row r="1100" spans="1:12" x14ac:dyDescent="0.2">
      <c r="A1100" s="5" t="s">
        <v>855</v>
      </c>
      <c r="B1100" s="7" t="s">
        <v>17</v>
      </c>
      <c r="C1100" s="29">
        <v>0</v>
      </c>
      <c r="D1100" s="11">
        <v>0</v>
      </c>
      <c r="E1100" s="9">
        <v>0</v>
      </c>
      <c r="F1100" s="11">
        <v>0</v>
      </c>
      <c r="G1100" s="9">
        <f t="shared" si="469"/>
        <v>0</v>
      </c>
      <c r="H1100" s="11">
        <v>0</v>
      </c>
      <c r="I1100" s="240">
        <f>'Tech-Roads'!I12</f>
        <v>0</v>
      </c>
      <c r="J1100" s="109">
        <f>'Tech-Roads'!J12</f>
        <v>0</v>
      </c>
      <c r="K1100" s="229">
        <f>'Tech-Roads'!K12</f>
        <v>0</v>
      </c>
      <c r="L1100" s="109">
        <f>'Tech-Roads'!L12</f>
        <v>0</v>
      </c>
    </row>
    <row r="1101" spans="1:12" x14ac:dyDescent="0.2">
      <c r="A1101" s="5" t="s">
        <v>856</v>
      </c>
      <c r="B1101" s="7" t="s">
        <v>19</v>
      </c>
      <c r="C1101" s="29">
        <v>30000</v>
      </c>
      <c r="D1101" s="11">
        <v>4872.4399999999996</v>
      </c>
      <c r="E1101" s="9">
        <v>4632.473</v>
      </c>
      <c r="F1101" s="11">
        <v>27175.43</v>
      </c>
      <c r="G1101" s="9">
        <f t="shared" si="469"/>
        <v>-1807.9029999999984</v>
      </c>
      <c r="H1101" s="11">
        <v>90.58</v>
      </c>
      <c r="I1101" s="240">
        <f>'Tech-Roads'!I13</f>
        <v>30000</v>
      </c>
      <c r="J1101" s="109">
        <f>'Tech-Roads'!J13</f>
        <v>60000</v>
      </c>
      <c r="K1101" s="229">
        <f>'Tech-Roads'!K13</f>
        <v>63600</v>
      </c>
      <c r="L1101" s="109">
        <f>'Tech-Roads'!L13</f>
        <v>67416</v>
      </c>
    </row>
    <row r="1102" spans="1:12" x14ac:dyDescent="0.2">
      <c r="A1102" s="5" t="s">
        <v>857</v>
      </c>
      <c r="B1102" s="7" t="s">
        <v>21</v>
      </c>
      <c r="C1102" s="29">
        <v>40000</v>
      </c>
      <c r="D1102" s="11">
        <v>15082.11</v>
      </c>
      <c r="E1102" s="9">
        <v>0</v>
      </c>
      <c r="F1102" s="11">
        <v>23887.79</v>
      </c>
      <c r="G1102" s="9">
        <f t="shared" si="469"/>
        <v>16112.21</v>
      </c>
      <c r="H1102" s="11">
        <v>59.71</v>
      </c>
      <c r="I1102" s="240">
        <f>'Tech-Roads'!I14</f>
        <v>40000</v>
      </c>
      <c r="J1102" s="109">
        <f>'Tech-Roads'!J14</f>
        <v>80000</v>
      </c>
      <c r="K1102" s="229">
        <f>'Tech-Roads'!K14</f>
        <v>84800</v>
      </c>
      <c r="L1102" s="109">
        <f>'Tech-Roads'!L14</f>
        <v>89888</v>
      </c>
    </row>
    <row r="1103" spans="1:12" x14ac:dyDescent="0.2">
      <c r="A1103" s="5" t="s">
        <v>858</v>
      </c>
      <c r="B1103" s="7" t="s">
        <v>22</v>
      </c>
      <c r="C1103" s="29">
        <v>0</v>
      </c>
      <c r="D1103" s="11">
        <v>0</v>
      </c>
      <c r="E1103" s="9">
        <v>0</v>
      </c>
      <c r="F1103" s="11">
        <v>0</v>
      </c>
      <c r="G1103" s="9">
        <f t="shared" si="469"/>
        <v>0</v>
      </c>
      <c r="H1103" s="11">
        <v>0</v>
      </c>
      <c r="I1103" s="240">
        <f>'Tech-Roads'!I15</f>
        <v>0</v>
      </c>
      <c r="J1103" s="109">
        <f>'Tech-Roads'!J15</f>
        <v>0</v>
      </c>
      <c r="K1103" s="229">
        <f>'Tech-Roads'!K15</f>
        <v>0</v>
      </c>
      <c r="L1103" s="109">
        <f>'Tech-Roads'!L15</f>
        <v>0</v>
      </c>
    </row>
    <row r="1104" spans="1:12" x14ac:dyDescent="0.2">
      <c r="A1104" s="5" t="s">
        <v>859</v>
      </c>
      <c r="B1104" s="7" t="s">
        <v>24</v>
      </c>
      <c r="C1104" s="29">
        <v>24000</v>
      </c>
      <c r="D1104" s="11">
        <v>2350</v>
      </c>
      <c r="E1104" s="9">
        <v>0</v>
      </c>
      <c r="F1104" s="11">
        <v>11750</v>
      </c>
      <c r="G1104" s="9">
        <f t="shared" si="469"/>
        <v>12250</v>
      </c>
      <c r="H1104" s="11">
        <v>48.95</v>
      </c>
      <c r="I1104" s="240">
        <f>'Tech-Roads'!I16</f>
        <v>0</v>
      </c>
      <c r="J1104" s="109">
        <f>'Tech-Roads'!J16</f>
        <v>24000</v>
      </c>
      <c r="K1104" s="229">
        <f>'Tech-Roads'!K16</f>
        <v>25440</v>
      </c>
      <c r="L1104" s="109">
        <f>'Tech-Roads'!L16</f>
        <v>26966.400000000001</v>
      </c>
    </row>
    <row r="1105" spans="1:12" x14ac:dyDescent="0.2">
      <c r="A1105" s="5" t="s">
        <v>860</v>
      </c>
      <c r="B1105" s="7" t="s">
        <v>26</v>
      </c>
      <c r="C1105" s="29">
        <v>0</v>
      </c>
      <c r="D1105" s="11">
        <v>0</v>
      </c>
      <c r="E1105" s="9">
        <v>0</v>
      </c>
      <c r="F1105" s="11">
        <v>0</v>
      </c>
      <c r="G1105" s="9">
        <f t="shared" si="469"/>
        <v>0</v>
      </c>
      <c r="H1105" s="11">
        <v>0</v>
      </c>
      <c r="I1105" s="240">
        <f>'Tech-Roads'!I17</f>
        <v>0</v>
      </c>
      <c r="J1105" s="109">
        <f>'Tech-Roads'!J17</f>
        <v>0</v>
      </c>
      <c r="K1105" s="229">
        <f>'Tech-Roads'!K17</f>
        <v>0</v>
      </c>
      <c r="L1105" s="109">
        <f>'Tech-Roads'!L17</f>
        <v>0</v>
      </c>
    </row>
    <row r="1106" spans="1:12" x14ac:dyDescent="0.2">
      <c r="A1106" s="5" t="s">
        <v>861</v>
      </c>
      <c r="B1106" s="7" t="s">
        <v>28</v>
      </c>
      <c r="C1106" s="29">
        <v>0</v>
      </c>
      <c r="D1106" s="11">
        <v>0</v>
      </c>
      <c r="E1106" s="9">
        <v>0</v>
      </c>
      <c r="F1106" s="11">
        <v>0</v>
      </c>
      <c r="G1106" s="9">
        <f t="shared" si="469"/>
        <v>0</v>
      </c>
      <c r="H1106" s="11">
        <v>0</v>
      </c>
      <c r="I1106" s="240">
        <f>'Tech-Roads'!I18</f>
        <v>0</v>
      </c>
      <c r="J1106" s="109">
        <f>'Tech-Roads'!J18</f>
        <v>0</v>
      </c>
      <c r="K1106" s="229">
        <f>'Tech-Roads'!K18</f>
        <v>0</v>
      </c>
      <c r="L1106" s="109">
        <f>'Tech-Roads'!L18</f>
        <v>0</v>
      </c>
    </row>
    <row r="1107" spans="1:12" x14ac:dyDescent="0.2">
      <c r="A1107" s="5" t="s">
        <v>862</v>
      </c>
      <c r="B1107" s="7" t="s">
        <v>30</v>
      </c>
      <c r="C1107" s="29">
        <v>50000</v>
      </c>
      <c r="D1107" s="11">
        <v>0</v>
      </c>
      <c r="E1107" s="9">
        <v>0</v>
      </c>
      <c r="F1107" s="11">
        <v>44874.44</v>
      </c>
      <c r="G1107" s="9">
        <f t="shared" si="469"/>
        <v>5125.5599999999977</v>
      </c>
      <c r="H1107" s="11">
        <v>89.74</v>
      </c>
      <c r="I1107" s="240">
        <f>'Tech-Roads'!I19</f>
        <v>0</v>
      </c>
      <c r="J1107" s="109">
        <f>'Tech-Roads'!J19</f>
        <v>50000</v>
      </c>
      <c r="K1107" s="229">
        <f>'Tech-Roads'!K19</f>
        <v>0</v>
      </c>
      <c r="L1107" s="109">
        <f>'Tech-Roads'!L19</f>
        <v>0</v>
      </c>
    </row>
    <row r="1108" spans="1:12" x14ac:dyDescent="0.2">
      <c r="A1108" s="5" t="s">
        <v>863</v>
      </c>
      <c r="B1108" s="7" t="s">
        <v>32</v>
      </c>
      <c r="C1108" s="29">
        <v>1908605</v>
      </c>
      <c r="D1108" s="11">
        <v>146649.59</v>
      </c>
      <c r="E1108" s="9">
        <v>0</v>
      </c>
      <c r="F1108" s="11">
        <v>949460.43</v>
      </c>
      <c r="G1108" s="9">
        <f t="shared" si="469"/>
        <v>959144.57</v>
      </c>
      <c r="H1108" s="11">
        <v>49.74</v>
      </c>
      <c r="I1108" s="240">
        <f>'Tech-Roads'!I20</f>
        <v>0</v>
      </c>
      <c r="J1108" s="109">
        <f>'Tech-Roads'!J20</f>
        <v>1908605</v>
      </c>
      <c r="K1108" s="229">
        <f>'Tech-Roads'!K20</f>
        <v>2023121.3</v>
      </c>
      <c r="L1108" s="109">
        <f>'Tech-Roads'!L20</f>
        <v>2144508.5780000002</v>
      </c>
    </row>
    <row r="1109" spans="1:12" x14ac:dyDescent="0.2">
      <c r="A1109" s="5" t="s">
        <v>864</v>
      </c>
      <c r="B1109" s="7" t="s">
        <v>34</v>
      </c>
      <c r="C1109" s="29">
        <v>0</v>
      </c>
      <c r="D1109" s="11">
        <v>0</v>
      </c>
      <c r="E1109" s="9">
        <v>0</v>
      </c>
      <c r="F1109" s="11">
        <v>0</v>
      </c>
      <c r="G1109" s="9">
        <f t="shared" si="469"/>
        <v>0</v>
      </c>
      <c r="H1109" s="11">
        <v>0</v>
      </c>
      <c r="I1109" s="240">
        <f>'Tech-Roads'!I21</f>
        <v>0</v>
      </c>
      <c r="J1109" s="109">
        <f>'Tech-Roads'!J21</f>
        <v>0</v>
      </c>
      <c r="K1109" s="229">
        <f>'Tech-Roads'!K21</f>
        <v>0</v>
      </c>
      <c r="L1109" s="109">
        <f>'Tech-Roads'!L21</f>
        <v>0</v>
      </c>
    </row>
    <row r="1110" spans="1:12" x14ac:dyDescent="0.2">
      <c r="A1110" s="5" t="s">
        <v>865</v>
      </c>
      <c r="B1110" s="7" t="s">
        <v>36</v>
      </c>
      <c r="C1110" s="29">
        <v>64940</v>
      </c>
      <c r="D1110" s="11">
        <v>5411.64</v>
      </c>
      <c r="E1110" s="9">
        <v>0</v>
      </c>
      <c r="F1110" s="11">
        <v>32469.84</v>
      </c>
      <c r="G1110" s="9">
        <f t="shared" si="469"/>
        <v>32470.16</v>
      </c>
      <c r="H1110" s="11">
        <v>49.99</v>
      </c>
      <c r="I1110" s="240">
        <f>'Tech-Roads'!I22</f>
        <v>0</v>
      </c>
      <c r="J1110" s="109">
        <f>'Tech-Roads'!J22</f>
        <v>64940</v>
      </c>
      <c r="K1110" s="229">
        <f>'Tech-Roads'!K22</f>
        <v>68836.399999999994</v>
      </c>
      <c r="L1110" s="109">
        <f>'Tech-Roads'!L22</f>
        <v>72966.583999999988</v>
      </c>
    </row>
    <row r="1111" spans="1:12" x14ac:dyDescent="0.2">
      <c r="A1111" s="5" t="s">
        <v>866</v>
      </c>
      <c r="B1111" s="7" t="s">
        <v>850</v>
      </c>
      <c r="C1111" s="29">
        <v>1240209</v>
      </c>
      <c r="D1111" s="11">
        <v>109641.02</v>
      </c>
      <c r="E1111" s="9">
        <v>0</v>
      </c>
      <c r="F1111" s="11">
        <v>631830.30000000005</v>
      </c>
      <c r="G1111" s="9">
        <f t="shared" si="469"/>
        <v>608378.69999999995</v>
      </c>
      <c r="H1111" s="11">
        <v>50.94</v>
      </c>
      <c r="I1111" s="240">
        <f>'Tech-Roads'!I23</f>
        <v>56795</v>
      </c>
      <c r="J1111" s="109">
        <f>'Tech-Roads'!J23</f>
        <v>1297004</v>
      </c>
      <c r="K1111" s="229">
        <f>'Tech-Roads'!K23</f>
        <v>1374824.24</v>
      </c>
      <c r="L1111" s="109">
        <f>'Tech-Roads'!L23</f>
        <v>1457313.6943999999</v>
      </c>
    </row>
    <row r="1112" spans="1:12" x14ac:dyDescent="0.2">
      <c r="A1112" s="5" t="s">
        <v>867</v>
      </c>
      <c r="B1112" s="7" t="s">
        <v>44</v>
      </c>
      <c r="C1112" s="29">
        <v>0</v>
      </c>
      <c r="D1112" s="11">
        <v>0</v>
      </c>
      <c r="E1112" s="9">
        <v>0</v>
      </c>
      <c r="F1112" s="11">
        <v>0</v>
      </c>
      <c r="G1112" s="9">
        <f t="shared" si="469"/>
        <v>0</v>
      </c>
      <c r="H1112" s="11">
        <v>0</v>
      </c>
      <c r="I1112" s="240">
        <f>'Tech-Roads'!I24</f>
        <v>0</v>
      </c>
      <c r="J1112" s="109">
        <f>'Tech-Roads'!J24</f>
        <v>0</v>
      </c>
      <c r="K1112" s="229">
        <f>'Tech-Roads'!K24</f>
        <v>0</v>
      </c>
      <c r="L1112" s="109">
        <f>'Tech-Roads'!L24</f>
        <v>0</v>
      </c>
    </row>
    <row r="1113" spans="1:12" x14ac:dyDescent="0.2">
      <c r="A1113" s="5" t="s">
        <v>868</v>
      </c>
      <c r="B1113" s="7" t="s">
        <v>46</v>
      </c>
      <c r="C1113" s="29">
        <v>0</v>
      </c>
      <c r="D1113" s="11">
        <v>0</v>
      </c>
      <c r="E1113" s="9">
        <v>0</v>
      </c>
      <c r="F1113" s="11">
        <v>0</v>
      </c>
      <c r="G1113" s="9">
        <f t="shared" si="469"/>
        <v>0</v>
      </c>
      <c r="H1113" s="11">
        <v>0</v>
      </c>
      <c r="I1113" s="240">
        <f>'Tech-Roads'!I25</f>
        <v>0</v>
      </c>
      <c r="J1113" s="109">
        <f>'Tech-Roads'!J25</f>
        <v>0</v>
      </c>
      <c r="K1113" s="229">
        <f>'Tech-Roads'!K25</f>
        <v>0</v>
      </c>
      <c r="L1113" s="109">
        <f>'Tech-Roads'!L25</f>
        <v>0</v>
      </c>
    </row>
    <row r="1114" spans="1:12" x14ac:dyDescent="0.2">
      <c r="A1114" s="5" t="s">
        <v>869</v>
      </c>
      <c r="B1114" s="7" t="s">
        <v>48</v>
      </c>
      <c r="C1114" s="29">
        <v>0</v>
      </c>
      <c r="D1114" s="11">
        <v>0</v>
      </c>
      <c r="E1114" s="9">
        <v>0</v>
      </c>
      <c r="F1114" s="11">
        <v>0</v>
      </c>
      <c r="G1114" s="9">
        <f t="shared" si="469"/>
        <v>0</v>
      </c>
      <c r="H1114" s="11">
        <v>0</v>
      </c>
      <c r="I1114" s="240">
        <f>'Tech-Roads'!I26</f>
        <v>0</v>
      </c>
      <c r="J1114" s="109">
        <f>'Tech-Roads'!J26</f>
        <v>0</v>
      </c>
      <c r="K1114" s="229">
        <f>'Tech-Roads'!K26</f>
        <v>0</v>
      </c>
      <c r="L1114" s="109">
        <f>'Tech-Roads'!L26</f>
        <v>0</v>
      </c>
    </row>
    <row r="1115" spans="1:12" x14ac:dyDescent="0.2">
      <c r="A1115" s="5"/>
      <c r="B1115" s="7"/>
      <c r="C1115" s="29"/>
      <c r="D1115" s="11"/>
      <c r="E1115" s="9"/>
      <c r="F1115" s="11"/>
      <c r="G1115" s="9"/>
      <c r="H1115" s="11"/>
      <c r="I1115" s="240"/>
      <c r="J1115" s="162"/>
      <c r="K1115" s="169"/>
      <c r="L1115" s="162"/>
    </row>
    <row r="1116" spans="1:12" s="3" customFormat="1" ht="15" x14ac:dyDescent="0.25">
      <c r="A1116" s="18"/>
      <c r="B1116" s="19" t="s">
        <v>49</v>
      </c>
      <c r="C1116" s="28">
        <f>SUM(C1098:C1115)</f>
        <v>3516805</v>
      </c>
      <c r="D1116" s="36">
        <f t="shared" ref="D1116:G1116" si="470">SUM(D1098:D1115)</f>
        <v>299910.92000000004</v>
      </c>
      <c r="E1116" s="28">
        <f t="shared" si="470"/>
        <v>4632.473</v>
      </c>
      <c r="F1116" s="36">
        <f t="shared" si="470"/>
        <v>1778200.7600000002</v>
      </c>
      <c r="G1116" s="28">
        <f t="shared" si="470"/>
        <v>1733971.7669999998</v>
      </c>
      <c r="H1116" s="21">
        <v>50.56</v>
      </c>
      <c r="I1116" s="243">
        <f t="shared" ref="I1116:L1116" si="471">SUM(I1098:I1115)</f>
        <v>126795</v>
      </c>
      <c r="J1116" s="172">
        <f t="shared" si="471"/>
        <v>3643600</v>
      </c>
      <c r="K1116" s="236">
        <f t="shared" si="471"/>
        <v>3809216</v>
      </c>
      <c r="L1116" s="172">
        <f t="shared" si="471"/>
        <v>4037768.96</v>
      </c>
    </row>
    <row r="1117" spans="1:12" s="3" customFormat="1" ht="15" x14ac:dyDescent="0.25">
      <c r="A1117" s="18"/>
      <c r="B1117" s="19"/>
      <c r="C1117" s="28"/>
      <c r="D1117" s="21"/>
      <c r="E1117" s="20"/>
      <c r="F1117" s="21"/>
      <c r="G1117" s="20"/>
      <c r="H1117" s="21"/>
      <c r="I1117" s="238"/>
      <c r="J1117" s="168"/>
      <c r="K1117" s="178"/>
      <c r="L1117" s="168"/>
    </row>
    <row r="1118" spans="1:12" s="3" customFormat="1" ht="15" x14ac:dyDescent="0.25">
      <c r="A1118" s="18"/>
      <c r="B1118" s="19" t="s">
        <v>50</v>
      </c>
      <c r="C1118" s="28"/>
      <c r="D1118" s="21"/>
      <c r="E1118" s="20"/>
      <c r="F1118" s="21"/>
      <c r="G1118" s="20"/>
      <c r="H1118" s="21"/>
      <c r="I1118" s="238"/>
      <c r="J1118" s="168"/>
      <c r="K1118" s="178"/>
      <c r="L1118" s="168"/>
    </row>
    <row r="1119" spans="1:12" x14ac:dyDescent="0.2">
      <c r="A1119" s="5"/>
      <c r="B1119" s="7"/>
      <c r="C1119" s="29"/>
      <c r="D1119" s="11"/>
      <c r="E1119" s="9"/>
      <c r="F1119" s="11"/>
      <c r="G1119" s="9"/>
      <c r="H1119" s="11"/>
      <c r="I1119" s="240"/>
      <c r="J1119" s="162"/>
      <c r="K1119" s="169"/>
      <c r="L1119" s="162"/>
    </row>
    <row r="1120" spans="1:12" x14ac:dyDescent="0.2">
      <c r="A1120" s="5" t="s">
        <v>870</v>
      </c>
      <c r="B1120" s="7" t="s">
        <v>53</v>
      </c>
      <c r="C1120" s="29">
        <v>915</v>
      </c>
      <c r="D1120" s="11">
        <v>72.5</v>
      </c>
      <c r="E1120" s="9">
        <v>0</v>
      </c>
      <c r="F1120" s="11">
        <v>464</v>
      </c>
      <c r="G1120" s="9">
        <f t="shared" ref="G1120:G1127" si="472">C1120-E1120-F1120</f>
        <v>451</v>
      </c>
      <c r="H1120" s="11">
        <v>50.71</v>
      </c>
      <c r="I1120" s="240">
        <f>'Tech-Roads'!I32</f>
        <v>0</v>
      </c>
      <c r="J1120" s="109">
        <f>'Tech-Roads'!J32</f>
        <v>915</v>
      </c>
      <c r="K1120" s="229">
        <f>'Tech-Roads'!K32</f>
        <v>969.9</v>
      </c>
      <c r="L1120" s="109">
        <f>'Tech-Roads'!L32</f>
        <v>1028.0940000000001</v>
      </c>
    </row>
    <row r="1121" spans="1:12" x14ac:dyDescent="0.2">
      <c r="A1121" s="5" t="s">
        <v>871</v>
      </c>
      <c r="B1121" s="7" t="s">
        <v>55</v>
      </c>
      <c r="C1121" s="29">
        <v>17218</v>
      </c>
      <c r="D1121" s="11">
        <v>1345.69</v>
      </c>
      <c r="E1121" s="9">
        <v>0</v>
      </c>
      <c r="F1121" s="11">
        <v>8885.69</v>
      </c>
      <c r="G1121" s="9">
        <f t="shared" si="472"/>
        <v>8332.31</v>
      </c>
      <c r="H1121" s="11">
        <v>51.6</v>
      </c>
      <c r="I1121" s="240">
        <f>'Tech-Roads'!I33</f>
        <v>0</v>
      </c>
      <c r="J1121" s="162">
        <f t="shared" ref="J1121:J1127" si="473">C1121+I1121</f>
        <v>17218</v>
      </c>
      <c r="K1121" s="229">
        <f>'Tech-Roads'!K33</f>
        <v>18251.080000000002</v>
      </c>
      <c r="L1121" s="109">
        <f>'Tech-Roads'!L33</f>
        <v>19346.144800000002</v>
      </c>
    </row>
    <row r="1122" spans="1:12" x14ac:dyDescent="0.2">
      <c r="A1122" s="5" t="s">
        <v>872</v>
      </c>
      <c r="B1122" s="7" t="s">
        <v>57</v>
      </c>
      <c r="C1122" s="29">
        <v>100786</v>
      </c>
      <c r="D1122" s="11">
        <v>9771.6</v>
      </c>
      <c r="E1122" s="9">
        <v>0</v>
      </c>
      <c r="F1122" s="11">
        <v>59030.9</v>
      </c>
      <c r="G1122" s="9">
        <f t="shared" si="472"/>
        <v>41755.1</v>
      </c>
      <c r="H1122" s="11">
        <v>58.57</v>
      </c>
      <c r="I1122" s="240">
        <f>'Tech-Roads'!I34</f>
        <v>10078.6</v>
      </c>
      <c r="J1122" s="162">
        <f t="shared" si="473"/>
        <v>110864.6</v>
      </c>
      <c r="K1122" s="229">
        <f>'Tech-Roads'!K34</f>
        <v>117516.47600000001</v>
      </c>
      <c r="L1122" s="109">
        <f>'Tech-Roads'!L34</f>
        <v>124567.46456000001</v>
      </c>
    </row>
    <row r="1123" spans="1:12" x14ac:dyDescent="0.2">
      <c r="A1123" s="5" t="s">
        <v>873</v>
      </c>
      <c r="B1123" s="7" t="s">
        <v>59</v>
      </c>
      <c r="C1123" s="29">
        <v>411973</v>
      </c>
      <c r="D1123" s="11">
        <v>30663.61</v>
      </c>
      <c r="E1123" s="9">
        <v>0</v>
      </c>
      <c r="F1123" s="11">
        <v>198959</v>
      </c>
      <c r="G1123" s="9">
        <f t="shared" si="472"/>
        <v>213014</v>
      </c>
      <c r="H1123" s="11">
        <v>48.29</v>
      </c>
      <c r="I1123" s="240">
        <f>'Tech-Roads'!I35</f>
        <v>0</v>
      </c>
      <c r="J1123" s="162">
        <f t="shared" si="473"/>
        <v>411973</v>
      </c>
      <c r="K1123" s="229">
        <f>'Tech-Roads'!K35</f>
        <v>436691.38</v>
      </c>
      <c r="L1123" s="109">
        <f>'Tech-Roads'!L35</f>
        <v>462892.8628</v>
      </c>
    </row>
    <row r="1124" spans="1:12" x14ac:dyDescent="0.2">
      <c r="A1124" s="5" t="s">
        <v>874</v>
      </c>
      <c r="B1124" s="7" t="s">
        <v>60</v>
      </c>
      <c r="C1124" s="29">
        <v>0</v>
      </c>
      <c r="D1124" s="11">
        <v>0</v>
      </c>
      <c r="E1124" s="9">
        <v>0</v>
      </c>
      <c r="F1124" s="11">
        <v>0</v>
      </c>
      <c r="G1124" s="9">
        <f t="shared" si="472"/>
        <v>0</v>
      </c>
      <c r="H1124" s="11">
        <v>0</v>
      </c>
      <c r="I1124" s="240">
        <f>'Tech-Roads'!I36</f>
        <v>0</v>
      </c>
      <c r="J1124" s="162">
        <f t="shared" si="473"/>
        <v>0</v>
      </c>
      <c r="K1124" s="229">
        <f>'Tech-Roads'!K36</f>
        <v>0</v>
      </c>
      <c r="L1124" s="109">
        <f>'Tech-Roads'!L36</f>
        <v>0</v>
      </c>
    </row>
    <row r="1125" spans="1:12" x14ac:dyDescent="0.2">
      <c r="A1125" s="5" t="s">
        <v>875</v>
      </c>
      <c r="B1125" s="7" t="s">
        <v>62</v>
      </c>
      <c r="C1125" s="29">
        <v>38172</v>
      </c>
      <c r="D1125" s="11">
        <v>2900.07</v>
      </c>
      <c r="E1125" s="9">
        <v>0</v>
      </c>
      <c r="F1125" s="11">
        <v>17189.810000000001</v>
      </c>
      <c r="G1125" s="9">
        <f t="shared" si="472"/>
        <v>20982.19</v>
      </c>
      <c r="H1125" s="11">
        <v>45.03</v>
      </c>
      <c r="I1125" s="240">
        <f>'Tech-Roads'!I37</f>
        <v>0</v>
      </c>
      <c r="J1125" s="162">
        <f t="shared" si="473"/>
        <v>38172</v>
      </c>
      <c r="K1125" s="229">
        <f>'Tech-Roads'!K37</f>
        <v>40462.32</v>
      </c>
      <c r="L1125" s="109">
        <f>'Tech-Roads'!L37</f>
        <v>42890.059200000003</v>
      </c>
    </row>
    <row r="1126" spans="1:12" x14ac:dyDescent="0.2">
      <c r="A1126" s="5"/>
      <c r="B1126" s="7"/>
      <c r="C1126" s="29"/>
      <c r="D1126" s="11"/>
      <c r="E1126" s="9"/>
      <c r="F1126" s="11"/>
      <c r="G1126" s="9"/>
      <c r="H1126" s="11"/>
      <c r="I1126" s="240"/>
      <c r="J1126" s="162"/>
      <c r="K1126" s="169"/>
      <c r="L1126" s="109">
        <f>'Tech-Roads'!L38</f>
        <v>0</v>
      </c>
    </row>
    <row r="1127" spans="1:12" s="3" customFormat="1" ht="15" x14ac:dyDescent="0.25">
      <c r="A1127" s="18"/>
      <c r="B1127" s="19" t="s">
        <v>63</v>
      </c>
      <c r="C1127" s="28">
        <v>569064</v>
      </c>
      <c r="D1127" s="21">
        <v>44753.47</v>
      </c>
      <c r="E1127" s="20">
        <v>0</v>
      </c>
      <c r="F1127" s="21">
        <v>284529.40000000002</v>
      </c>
      <c r="G1127" s="20">
        <f t="shared" si="472"/>
        <v>284534.59999999998</v>
      </c>
      <c r="H1127" s="21">
        <v>49.99</v>
      </c>
      <c r="I1127" s="243">
        <f>SUM(I1120:I1126)</f>
        <v>10078.6</v>
      </c>
      <c r="J1127" s="168">
        <f t="shared" si="473"/>
        <v>579142.6</v>
      </c>
      <c r="K1127" s="247">
        <f t="shared" ref="K1127:L1127" si="474">SUM(K1120:K1126)</f>
        <v>613891.15599999996</v>
      </c>
      <c r="L1127" s="173">
        <f t="shared" si="474"/>
        <v>650724.62536000006</v>
      </c>
    </row>
    <row r="1128" spans="1:12" x14ac:dyDescent="0.2">
      <c r="A1128" s="5"/>
      <c r="B1128" s="7"/>
      <c r="C1128" s="29"/>
      <c r="D1128" s="11"/>
      <c r="E1128" s="9"/>
      <c r="F1128" s="11"/>
      <c r="G1128" s="9"/>
      <c r="H1128" s="11"/>
      <c r="I1128" s="240"/>
      <c r="J1128" s="162"/>
      <c r="K1128" s="169"/>
      <c r="L1128" s="162"/>
    </row>
    <row r="1129" spans="1:12" s="3" customFormat="1" ht="15" x14ac:dyDescent="0.25">
      <c r="A1129" s="18"/>
      <c r="B1129" s="19" t="s">
        <v>73</v>
      </c>
      <c r="C1129" s="28">
        <f>C1116+C1127</f>
        <v>4085869</v>
      </c>
      <c r="D1129" s="36">
        <f t="shared" ref="D1129:L1129" si="475">D1116+D1127</f>
        <v>344664.39</v>
      </c>
      <c r="E1129" s="28">
        <f t="shared" si="475"/>
        <v>4632.473</v>
      </c>
      <c r="F1129" s="36">
        <f t="shared" si="475"/>
        <v>2062730.1600000001</v>
      </c>
      <c r="G1129" s="28">
        <f t="shared" si="475"/>
        <v>2018506.3669999996</v>
      </c>
      <c r="H1129" s="21">
        <v>50.48</v>
      </c>
      <c r="I1129" s="243">
        <f t="shared" si="475"/>
        <v>136873.60000000001</v>
      </c>
      <c r="J1129" s="172">
        <f t="shared" si="475"/>
        <v>4222742.5999999996</v>
      </c>
      <c r="K1129" s="236">
        <f t="shared" si="475"/>
        <v>4423107.1559999995</v>
      </c>
      <c r="L1129" s="172">
        <f t="shared" si="475"/>
        <v>4688493.5853599999</v>
      </c>
    </row>
    <row r="1130" spans="1:12" s="3" customFormat="1" ht="15" x14ac:dyDescent="0.25">
      <c r="A1130" s="18"/>
      <c r="B1130" s="19"/>
      <c r="C1130" s="28"/>
      <c r="D1130" s="21"/>
      <c r="E1130" s="20"/>
      <c r="F1130" s="21"/>
      <c r="G1130" s="20"/>
      <c r="H1130" s="21"/>
      <c r="I1130" s="238"/>
      <c r="J1130" s="168"/>
      <c r="K1130" s="178"/>
      <c r="L1130" s="168"/>
    </row>
    <row r="1131" spans="1:12" s="3" customFormat="1" ht="15" x14ac:dyDescent="0.25">
      <c r="A1131" s="18"/>
      <c r="B1131" s="19" t="s">
        <v>74</v>
      </c>
      <c r="C1131" s="28"/>
      <c r="D1131" s="21"/>
      <c r="E1131" s="20"/>
      <c r="F1131" s="21"/>
      <c r="G1131" s="20"/>
      <c r="H1131" s="21"/>
      <c r="I1131" s="238"/>
      <c r="J1131" s="168"/>
      <c r="K1131" s="178"/>
      <c r="L1131" s="168"/>
    </row>
    <row r="1132" spans="1:12" s="3" customFormat="1" ht="15" x14ac:dyDescent="0.25">
      <c r="A1132" s="18"/>
      <c r="B1132" s="19"/>
      <c r="C1132" s="28"/>
      <c r="D1132" s="21"/>
      <c r="E1132" s="20"/>
      <c r="F1132" s="21"/>
      <c r="G1132" s="20"/>
      <c r="H1132" s="21"/>
      <c r="I1132" s="238"/>
      <c r="J1132" s="168"/>
      <c r="K1132" s="178"/>
      <c r="L1132" s="168"/>
    </row>
    <row r="1133" spans="1:12" s="3" customFormat="1" ht="15" x14ac:dyDescent="0.25">
      <c r="A1133" s="18"/>
      <c r="B1133" s="19" t="s">
        <v>75</v>
      </c>
      <c r="C1133" s="28"/>
      <c r="D1133" s="21"/>
      <c r="E1133" s="20"/>
      <c r="F1133" s="21"/>
      <c r="G1133" s="20"/>
      <c r="H1133" s="21"/>
      <c r="I1133" s="238"/>
      <c r="J1133" s="168"/>
      <c r="K1133" s="178"/>
      <c r="L1133" s="168"/>
    </row>
    <row r="1134" spans="1:12" s="3" customFormat="1" ht="15" x14ac:dyDescent="0.25">
      <c r="A1134" s="18"/>
      <c r="B1134" s="19"/>
      <c r="C1134" s="28"/>
      <c r="D1134" s="21"/>
      <c r="E1134" s="20"/>
      <c r="F1134" s="21"/>
      <c r="G1134" s="20"/>
      <c r="H1134" s="21"/>
      <c r="I1134" s="238"/>
      <c r="J1134" s="168"/>
      <c r="K1134" s="178"/>
      <c r="L1134" s="168"/>
    </row>
    <row r="1135" spans="1:12" x14ac:dyDescent="0.2">
      <c r="A1135" s="5" t="s">
        <v>876</v>
      </c>
      <c r="B1135" s="7" t="s">
        <v>77</v>
      </c>
      <c r="C1135" s="29">
        <v>29113</v>
      </c>
      <c r="D1135" s="11">
        <v>0</v>
      </c>
      <c r="E1135" s="9">
        <v>2230</v>
      </c>
      <c r="F1135" s="11">
        <v>7731.85</v>
      </c>
      <c r="G1135" s="9">
        <f>C1135-E1135-F1135</f>
        <v>19151.150000000001</v>
      </c>
      <c r="H1135" s="11">
        <v>26.55</v>
      </c>
      <c r="I1135" s="240">
        <f>'Tech-Roads'!I47</f>
        <v>0</v>
      </c>
      <c r="J1135" s="109">
        <f>'Tech-Roads'!J47</f>
        <v>29113</v>
      </c>
      <c r="K1135" s="229">
        <f>'Tech-Roads'!K47</f>
        <v>30859.78</v>
      </c>
      <c r="L1135" s="109">
        <f>'Tech-Roads'!L47</f>
        <v>32711.3668</v>
      </c>
    </row>
    <row r="1136" spans="1:12" x14ac:dyDescent="0.2">
      <c r="A1136" s="5" t="s">
        <v>877</v>
      </c>
      <c r="B1136" s="7" t="s">
        <v>106</v>
      </c>
      <c r="C1136" s="29">
        <v>0</v>
      </c>
      <c r="D1136" s="11">
        <v>0</v>
      </c>
      <c r="E1136" s="9">
        <v>0</v>
      </c>
      <c r="F1136" s="11">
        <v>0</v>
      </c>
      <c r="G1136" s="9">
        <f t="shared" ref="G1136:G1151" si="476">C1136-E1136-F1136</f>
        <v>0</v>
      </c>
      <c r="H1136" s="11">
        <v>0</v>
      </c>
      <c r="I1136" s="240">
        <f>'Tech-Roads'!I48</f>
        <v>0</v>
      </c>
      <c r="J1136" s="162">
        <f t="shared" ref="J1136:J1151" si="477">C1136+I1136</f>
        <v>0</v>
      </c>
      <c r="K1136" s="229">
        <f>'Tech-Roads'!K48</f>
        <v>0</v>
      </c>
      <c r="L1136" s="109">
        <f>'Tech-Roads'!L48</f>
        <v>0</v>
      </c>
    </row>
    <row r="1137" spans="1:12" x14ac:dyDescent="0.2">
      <c r="A1137" s="5" t="s">
        <v>878</v>
      </c>
      <c r="B1137" s="7" t="s">
        <v>137</v>
      </c>
      <c r="C1137" s="29">
        <v>900000</v>
      </c>
      <c r="D1137" s="11">
        <v>85110.56</v>
      </c>
      <c r="E1137" s="9">
        <v>0</v>
      </c>
      <c r="F1137" s="11">
        <v>476864.7</v>
      </c>
      <c r="G1137" s="9">
        <f t="shared" si="476"/>
        <v>423135.3</v>
      </c>
      <c r="H1137" s="11">
        <v>52.98</v>
      </c>
      <c r="I1137" s="240">
        <f>'Tech-Roads'!I49</f>
        <v>200000</v>
      </c>
      <c r="J1137" s="162">
        <f t="shared" si="477"/>
        <v>1100000</v>
      </c>
      <c r="K1137" s="229">
        <f>'Tech-Roads'!K49</f>
        <v>1166000</v>
      </c>
      <c r="L1137" s="109">
        <f>'Tech-Roads'!L49</f>
        <v>1235960</v>
      </c>
    </row>
    <row r="1138" spans="1:12" x14ac:dyDescent="0.2">
      <c r="A1138" s="5" t="s">
        <v>879</v>
      </c>
      <c r="B1138" s="7" t="s">
        <v>139</v>
      </c>
      <c r="C1138" s="29">
        <v>52900</v>
      </c>
      <c r="D1138" s="11">
        <v>0</v>
      </c>
      <c r="E1138" s="9">
        <v>0</v>
      </c>
      <c r="F1138" s="11">
        <v>0</v>
      </c>
      <c r="G1138" s="9">
        <f t="shared" si="476"/>
        <v>52900</v>
      </c>
      <c r="H1138" s="11">
        <v>0</v>
      </c>
      <c r="I1138" s="240">
        <f>'Tech-Roads'!I50</f>
        <v>0</v>
      </c>
      <c r="J1138" s="162">
        <f t="shared" si="477"/>
        <v>52900</v>
      </c>
      <c r="K1138" s="229">
        <f>'Tech-Roads'!K50</f>
        <v>56074</v>
      </c>
      <c r="L1138" s="109">
        <f>'Tech-Roads'!L50</f>
        <v>59438.44</v>
      </c>
    </row>
    <row r="1139" spans="1:12" x14ac:dyDescent="0.2">
      <c r="A1139" s="5" t="s">
        <v>880</v>
      </c>
      <c r="B1139" s="7" t="s">
        <v>171</v>
      </c>
      <c r="C1139" s="29">
        <v>0</v>
      </c>
      <c r="D1139" s="11">
        <v>0</v>
      </c>
      <c r="E1139" s="9">
        <v>0</v>
      </c>
      <c r="F1139" s="11">
        <v>0</v>
      </c>
      <c r="G1139" s="9">
        <f t="shared" si="476"/>
        <v>0</v>
      </c>
      <c r="H1139" s="11">
        <v>0</v>
      </c>
      <c r="I1139" s="240">
        <f>'Tech-Roads'!I51</f>
        <v>0</v>
      </c>
      <c r="J1139" s="162">
        <f t="shared" si="477"/>
        <v>0</v>
      </c>
      <c r="K1139" s="229">
        <f>'Tech-Roads'!K51</f>
        <v>0</v>
      </c>
      <c r="L1139" s="109">
        <f>'Tech-Roads'!L51</f>
        <v>0</v>
      </c>
    </row>
    <row r="1140" spans="1:12" x14ac:dyDescent="0.2">
      <c r="A1140" s="5" t="s">
        <v>881</v>
      </c>
      <c r="B1140" s="7" t="s">
        <v>173</v>
      </c>
      <c r="C1140" s="29">
        <v>0</v>
      </c>
      <c r="D1140" s="11">
        <v>0</v>
      </c>
      <c r="E1140" s="9">
        <v>0</v>
      </c>
      <c r="F1140" s="11">
        <v>0</v>
      </c>
      <c r="G1140" s="9">
        <f t="shared" si="476"/>
        <v>0</v>
      </c>
      <c r="H1140" s="11">
        <v>0</v>
      </c>
      <c r="I1140" s="240">
        <f>'Tech-Roads'!I52</f>
        <v>0</v>
      </c>
      <c r="J1140" s="162">
        <f t="shared" si="477"/>
        <v>0</v>
      </c>
      <c r="K1140" s="229">
        <f>'Tech-Roads'!K52</f>
        <v>0</v>
      </c>
      <c r="L1140" s="109">
        <f>'Tech-Roads'!L52</f>
        <v>0</v>
      </c>
    </row>
    <row r="1141" spans="1:12" x14ac:dyDescent="0.2">
      <c r="A1141" s="5" t="s">
        <v>882</v>
      </c>
      <c r="B1141" s="7" t="s">
        <v>175</v>
      </c>
      <c r="C1141" s="29">
        <v>70000</v>
      </c>
      <c r="D1141" s="11">
        <v>0</v>
      </c>
      <c r="E1141" s="9">
        <v>0</v>
      </c>
      <c r="F1141" s="11">
        <v>0</v>
      </c>
      <c r="G1141" s="9">
        <f t="shared" si="476"/>
        <v>70000</v>
      </c>
      <c r="H1141" s="11">
        <v>0</v>
      </c>
      <c r="I1141" s="240">
        <f>'Tech-Roads'!I53</f>
        <v>0</v>
      </c>
      <c r="J1141" s="162">
        <f t="shared" si="477"/>
        <v>70000</v>
      </c>
      <c r="K1141" s="229">
        <f>'Tech-Roads'!K53</f>
        <v>74200</v>
      </c>
      <c r="L1141" s="109">
        <f>'Tech-Roads'!L53</f>
        <v>78652</v>
      </c>
    </row>
    <row r="1142" spans="1:12" x14ac:dyDescent="0.2">
      <c r="A1142" s="5" t="s">
        <v>883</v>
      </c>
      <c r="B1142" s="7" t="s">
        <v>187</v>
      </c>
      <c r="C1142" s="29">
        <v>0</v>
      </c>
      <c r="D1142" s="11">
        <v>0</v>
      </c>
      <c r="E1142" s="9">
        <v>0</v>
      </c>
      <c r="F1142" s="11">
        <v>0</v>
      </c>
      <c r="G1142" s="9">
        <f t="shared" si="476"/>
        <v>0</v>
      </c>
      <c r="H1142" s="11">
        <v>0</v>
      </c>
      <c r="I1142" s="240">
        <f>'Tech-Roads'!I54</f>
        <v>0</v>
      </c>
      <c r="J1142" s="162">
        <f t="shared" si="477"/>
        <v>0</v>
      </c>
      <c r="K1142" s="229">
        <f>'Tech-Roads'!K54</f>
        <v>0</v>
      </c>
      <c r="L1142" s="109">
        <f>'Tech-Roads'!L54</f>
        <v>0</v>
      </c>
    </row>
    <row r="1143" spans="1:12" x14ac:dyDescent="0.2">
      <c r="A1143" s="5" t="s">
        <v>884</v>
      </c>
      <c r="B1143" s="7" t="s">
        <v>193</v>
      </c>
      <c r="C1143" s="29">
        <v>97739</v>
      </c>
      <c r="D1143" s="11">
        <v>16212.81</v>
      </c>
      <c r="E1143" s="9">
        <v>3910.09</v>
      </c>
      <c r="F1143" s="11">
        <v>59292.06</v>
      </c>
      <c r="G1143" s="9">
        <f t="shared" si="476"/>
        <v>34536.850000000006</v>
      </c>
      <c r="H1143" s="11">
        <v>60.66</v>
      </c>
      <c r="I1143" s="240">
        <f>'Tech-Roads'!I55</f>
        <v>32260</v>
      </c>
      <c r="J1143" s="162">
        <f t="shared" si="477"/>
        <v>129999</v>
      </c>
      <c r="K1143" s="229">
        <f>'Tech-Roads'!K55</f>
        <v>137798.94</v>
      </c>
      <c r="L1143" s="109">
        <f>'Tech-Roads'!L55</f>
        <v>146066.87640000001</v>
      </c>
    </row>
    <row r="1144" spans="1:12" x14ac:dyDescent="0.2">
      <c r="A1144" s="5" t="s">
        <v>885</v>
      </c>
      <c r="B1144" s="7" t="s">
        <v>195</v>
      </c>
      <c r="C1144" s="29">
        <v>84640</v>
      </c>
      <c r="D1144" s="11">
        <v>0</v>
      </c>
      <c r="E1144" s="9">
        <v>0</v>
      </c>
      <c r="F1144" s="11">
        <v>16500</v>
      </c>
      <c r="G1144" s="9">
        <f t="shared" si="476"/>
        <v>68140</v>
      </c>
      <c r="H1144" s="11">
        <v>19.489999999999998</v>
      </c>
      <c r="I1144" s="240">
        <f>'Tech-Roads'!I56</f>
        <v>0</v>
      </c>
      <c r="J1144" s="162">
        <f t="shared" si="477"/>
        <v>84640</v>
      </c>
      <c r="K1144" s="229">
        <f>'Tech-Roads'!K56</f>
        <v>89718.399999999994</v>
      </c>
      <c r="L1144" s="109">
        <f>'Tech-Roads'!L56</f>
        <v>95101.503999999986</v>
      </c>
    </row>
    <row r="1145" spans="1:12" x14ac:dyDescent="0.2">
      <c r="A1145" s="5" t="s">
        <v>886</v>
      </c>
      <c r="B1145" s="7" t="s">
        <v>205</v>
      </c>
      <c r="C1145" s="29">
        <v>264500</v>
      </c>
      <c r="D1145" s="11">
        <v>0</v>
      </c>
      <c r="E1145" s="9">
        <v>0</v>
      </c>
      <c r="F1145" s="11">
        <v>0</v>
      </c>
      <c r="G1145" s="9">
        <f t="shared" si="476"/>
        <v>264500</v>
      </c>
      <c r="H1145" s="11">
        <v>0</v>
      </c>
      <c r="I1145" s="240">
        <f>'Tech-Roads'!I57</f>
        <v>0</v>
      </c>
      <c r="J1145" s="162">
        <f t="shared" si="477"/>
        <v>264500</v>
      </c>
      <c r="K1145" s="229">
        <f>'Tech-Roads'!K57</f>
        <v>280370</v>
      </c>
      <c r="L1145" s="109">
        <f>'Tech-Roads'!L57</f>
        <v>297192.2</v>
      </c>
    </row>
    <row r="1146" spans="1:12" x14ac:dyDescent="0.2">
      <c r="A1146" s="5" t="s">
        <v>887</v>
      </c>
      <c r="B1146" s="7" t="s">
        <v>217</v>
      </c>
      <c r="C1146" s="29">
        <v>2000</v>
      </c>
      <c r="D1146" s="11">
        <v>0</v>
      </c>
      <c r="E1146" s="9">
        <v>0</v>
      </c>
      <c r="F1146" s="11">
        <v>0</v>
      </c>
      <c r="G1146" s="9">
        <f t="shared" si="476"/>
        <v>2000</v>
      </c>
      <c r="H1146" s="11">
        <v>0</v>
      </c>
      <c r="I1146" s="240">
        <f>'Tech-Roads'!I58</f>
        <v>0</v>
      </c>
      <c r="J1146" s="162">
        <f t="shared" si="477"/>
        <v>2000</v>
      </c>
      <c r="K1146" s="229">
        <f>'Tech-Roads'!K58</f>
        <v>2120</v>
      </c>
      <c r="L1146" s="109">
        <f>'Tech-Roads'!L58</f>
        <v>2247.1999999999998</v>
      </c>
    </row>
    <row r="1147" spans="1:12" x14ac:dyDescent="0.2">
      <c r="A1147" s="5" t="s">
        <v>888</v>
      </c>
      <c r="B1147" s="7" t="s">
        <v>218</v>
      </c>
      <c r="C1147" s="29">
        <v>0</v>
      </c>
      <c r="D1147" s="11">
        <v>0</v>
      </c>
      <c r="E1147" s="9">
        <v>0</v>
      </c>
      <c r="F1147" s="11">
        <v>0</v>
      </c>
      <c r="G1147" s="9">
        <f t="shared" si="476"/>
        <v>0</v>
      </c>
      <c r="H1147" s="11">
        <v>0</v>
      </c>
      <c r="I1147" s="240">
        <f>'Tech-Roads'!I59</f>
        <v>0</v>
      </c>
      <c r="J1147" s="162">
        <f t="shared" si="477"/>
        <v>0</v>
      </c>
      <c r="K1147" s="229">
        <f>'Tech-Roads'!K59</f>
        <v>0</v>
      </c>
      <c r="L1147" s="109">
        <f>'Tech-Roads'!L59</f>
        <v>0</v>
      </c>
    </row>
    <row r="1148" spans="1:12" x14ac:dyDescent="0.2">
      <c r="A1148" s="5" t="s">
        <v>889</v>
      </c>
      <c r="B1148" s="7" t="s">
        <v>243</v>
      </c>
      <c r="C1148" s="29">
        <v>0</v>
      </c>
      <c r="D1148" s="11">
        <v>0</v>
      </c>
      <c r="E1148" s="9">
        <v>0</v>
      </c>
      <c r="F1148" s="11">
        <v>0</v>
      </c>
      <c r="G1148" s="9">
        <f t="shared" si="476"/>
        <v>0</v>
      </c>
      <c r="H1148" s="11">
        <v>0</v>
      </c>
      <c r="I1148" s="240">
        <f>'Tech-Roads'!I60</f>
        <v>0</v>
      </c>
      <c r="J1148" s="162">
        <f t="shared" si="477"/>
        <v>0</v>
      </c>
      <c r="K1148" s="229">
        <f>'Tech-Roads'!K60</f>
        <v>0</v>
      </c>
      <c r="L1148" s="109">
        <f>'Tech-Roads'!L60</f>
        <v>0</v>
      </c>
    </row>
    <row r="1149" spans="1:12" x14ac:dyDescent="0.2">
      <c r="A1149" s="5" t="s">
        <v>890</v>
      </c>
      <c r="B1149" s="7" t="s">
        <v>248</v>
      </c>
      <c r="C1149" s="29">
        <v>0</v>
      </c>
      <c r="D1149" s="11">
        <v>0</v>
      </c>
      <c r="E1149" s="9">
        <v>0</v>
      </c>
      <c r="F1149" s="11">
        <v>0</v>
      </c>
      <c r="G1149" s="9">
        <f t="shared" si="476"/>
        <v>0</v>
      </c>
      <c r="H1149" s="11">
        <v>0</v>
      </c>
      <c r="I1149" s="240">
        <f>'Tech-Roads'!I61</f>
        <v>0</v>
      </c>
      <c r="J1149" s="162">
        <f t="shared" si="477"/>
        <v>0</v>
      </c>
      <c r="K1149" s="229">
        <f>'Tech-Roads'!K61</f>
        <v>0</v>
      </c>
      <c r="L1149" s="109">
        <f>'Tech-Roads'!L61</f>
        <v>0</v>
      </c>
    </row>
    <row r="1150" spans="1:12" x14ac:dyDescent="0.2">
      <c r="A1150" s="5" t="s">
        <v>891</v>
      </c>
      <c r="B1150" s="7" t="s">
        <v>254</v>
      </c>
      <c r="C1150" s="29">
        <v>0</v>
      </c>
      <c r="D1150" s="11">
        <v>0</v>
      </c>
      <c r="E1150" s="9">
        <v>0</v>
      </c>
      <c r="F1150" s="11">
        <v>0</v>
      </c>
      <c r="G1150" s="9">
        <f t="shared" si="476"/>
        <v>0</v>
      </c>
      <c r="H1150" s="11">
        <v>0</v>
      </c>
      <c r="I1150" s="240">
        <f>'Tech-Roads'!I62</f>
        <v>0</v>
      </c>
      <c r="J1150" s="162">
        <f t="shared" si="477"/>
        <v>0</v>
      </c>
      <c r="K1150" s="229">
        <f>'Tech-Roads'!K62</f>
        <v>0</v>
      </c>
      <c r="L1150" s="109">
        <f>'Tech-Roads'!L62</f>
        <v>0</v>
      </c>
    </row>
    <row r="1151" spans="1:12" x14ac:dyDescent="0.2">
      <c r="A1151" s="5" t="s">
        <v>892</v>
      </c>
      <c r="B1151" s="7" t="s">
        <v>262</v>
      </c>
      <c r="C1151" s="29">
        <v>15000</v>
      </c>
      <c r="D1151" s="11">
        <v>0</v>
      </c>
      <c r="E1151" s="9">
        <v>0</v>
      </c>
      <c r="F1151" s="11">
        <v>0</v>
      </c>
      <c r="G1151" s="9">
        <f t="shared" si="476"/>
        <v>15000</v>
      </c>
      <c r="H1151" s="11">
        <v>0</v>
      </c>
      <c r="I1151" s="240">
        <f>'Tech-Roads'!I63</f>
        <v>0</v>
      </c>
      <c r="J1151" s="162">
        <f t="shared" si="477"/>
        <v>15000</v>
      </c>
      <c r="K1151" s="229">
        <f>'Tech-Roads'!K63</f>
        <v>15900</v>
      </c>
      <c r="L1151" s="109">
        <f>'Tech-Roads'!L63</f>
        <v>16854</v>
      </c>
    </row>
    <row r="1152" spans="1:12" x14ac:dyDescent="0.2">
      <c r="A1152" s="5"/>
      <c r="B1152" s="7"/>
      <c r="C1152" s="29"/>
      <c r="D1152" s="11"/>
      <c r="E1152" s="9"/>
      <c r="F1152" s="11"/>
      <c r="G1152" s="9"/>
      <c r="H1152" s="11"/>
      <c r="I1152" s="240"/>
      <c r="J1152" s="162"/>
      <c r="K1152" s="169"/>
      <c r="L1152" s="162"/>
    </row>
    <row r="1153" spans="1:12" s="3" customFormat="1" ht="15" x14ac:dyDescent="0.25">
      <c r="A1153" s="18"/>
      <c r="B1153" s="19" t="s">
        <v>287</v>
      </c>
      <c r="C1153" s="28">
        <f>SUM(C1135:C1152)</f>
        <v>1515892</v>
      </c>
      <c r="D1153" s="36">
        <f t="shared" ref="D1153:G1153" si="478">SUM(D1135:D1152)</f>
        <v>101323.37</v>
      </c>
      <c r="E1153" s="28">
        <f t="shared" si="478"/>
        <v>6140.09</v>
      </c>
      <c r="F1153" s="36">
        <f t="shared" si="478"/>
        <v>560388.61</v>
      </c>
      <c r="G1153" s="28">
        <f t="shared" si="478"/>
        <v>949363.29999999993</v>
      </c>
      <c r="H1153" s="21">
        <v>36.96</v>
      </c>
      <c r="I1153" s="243">
        <f t="shared" ref="I1153:L1153" si="479">SUM(I1135:I1152)</f>
        <v>232260</v>
      </c>
      <c r="J1153" s="172">
        <f t="shared" si="479"/>
        <v>1748152</v>
      </c>
      <c r="K1153" s="236">
        <f t="shared" si="479"/>
        <v>1853041.1199999999</v>
      </c>
      <c r="L1153" s="172">
        <f t="shared" si="479"/>
        <v>1964223.5871999997</v>
      </c>
    </row>
    <row r="1154" spans="1:12" x14ac:dyDescent="0.2">
      <c r="A1154" s="5"/>
      <c r="B1154" s="7"/>
      <c r="C1154" s="29"/>
      <c r="D1154" s="11"/>
      <c r="E1154" s="9"/>
      <c r="F1154" s="11"/>
      <c r="G1154" s="9"/>
      <c r="H1154" s="11"/>
      <c r="I1154" s="240"/>
      <c r="J1154" s="162"/>
      <c r="K1154" s="169"/>
      <c r="L1154" s="162"/>
    </row>
    <row r="1155" spans="1:12" s="3" customFormat="1" ht="15" x14ac:dyDescent="0.25">
      <c r="A1155" s="18"/>
      <c r="B1155" s="19" t="s">
        <v>292</v>
      </c>
      <c r="C1155" s="28">
        <f>C1153</f>
        <v>1515892</v>
      </c>
      <c r="D1155" s="36">
        <f t="shared" ref="D1155:L1155" si="480">D1153</f>
        <v>101323.37</v>
      </c>
      <c r="E1155" s="28">
        <f t="shared" si="480"/>
        <v>6140.09</v>
      </c>
      <c r="F1155" s="36">
        <f t="shared" si="480"/>
        <v>560388.61</v>
      </c>
      <c r="G1155" s="28">
        <f t="shared" si="480"/>
        <v>949363.29999999993</v>
      </c>
      <c r="H1155" s="21">
        <v>36.96</v>
      </c>
      <c r="I1155" s="243">
        <f t="shared" si="480"/>
        <v>232260</v>
      </c>
      <c r="J1155" s="172">
        <f t="shared" si="480"/>
        <v>1748152</v>
      </c>
      <c r="K1155" s="236">
        <f t="shared" si="480"/>
        <v>1853041.1199999999</v>
      </c>
      <c r="L1155" s="172">
        <f t="shared" si="480"/>
        <v>1964223.5871999997</v>
      </c>
    </row>
    <row r="1156" spans="1:12" s="3" customFormat="1" ht="15" x14ac:dyDescent="0.25">
      <c r="A1156" s="18"/>
      <c r="B1156" s="19"/>
      <c r="C1156" s="28"/>
      <c r="D1156" s="21"/>
      <c r="E1156" s="20"/>
      <c r="F1156" s="21"/>
      <c r="G1156" s="20"/>
      <c r="H1156" s="21"/>
      <c r="I1156" s="238"/>
      <c r="J1156" s="168"/>
      <c r="K1156" s="178"/>
      <c r="L1156" s="168"/>
    </row>
    <row r="1157" spans="1:12" s="3" customFormat="1" ht="15" x14ac:dyDescent="0.25">
      <c r="A1157" s="18"/>
      <c r="B1157" s="19" t="s">
        <v>1009</v>
      </c>
      <c r="C1157" s="28"/>
      <c r="D1157" s="21"/>
      <c r="E1157" s="20"/>
      <c r="F1157" s="21"/>
      <c r="G1157" s="20"/>
      <c r="H1157" s="21"/>
      <c r="I1157" s="238"/>
      <c r="J1157" s="168"/>
      <c r="K1157" s="178"/>
      <c r="L1157" s="168"/>
    </row>
    <row r="1158" spans="1:12" s="3" customFormat="1" ht="15" x14ac:dyDescent="0.25">
      <c r="A1158" s="18"/>
      <c r="B1158" s="19"/>
      <c r="C1158" s="28"/>
      <c r="D1158" s="21"/>
      <c r="E1158" s="20"/>
      <c r="F1158" s="21"/>
      <c r="G1158" s="20"/>
      <c r="H1158" s="21"/>
      <c r="I1158" s="238"/>
      <c r="J1158" s="168"/>
      <c r="K1158" s="178"/>
      <c r="L1158" s="168"/>
    </row>
    <row r="1159" spans="1:12" x14ac:dyDescent="0.2">
      <c r="A1159" s="5" t="s">
        <v>893</v>
      </c>
      <c r="B1159" s="7" t="s">
        <v>296</v>
      </c>
      <c r="C1159" s="29">
        <v>0</v>
      </c>
      <c r="D1159" s="11">
        <v>0</v>
      </c>
      <c r="E1159" s="9">
        <v>0</v>
      </c>
      <c r="F1159" s="11">
        <v>0</v>
      </c>
      <c r="G1159" s="9">
        <f t="shared" ref="G1159:G1162" si="481">C1159-E1159-F1159</f>
        <v>0</v>
      </c>
      <c r="H1159" s="11">
        <v>0</v>
      </c>
      <c r="I1159" s="240">
        <f>'Tech-Roads'!I71</f>
        <v>0</v>
      </c>
      <c r="J1159" s="162">
        <f t="shared" ref="J1159:J1162" si="482">C1159+I1159</f>
        <v>0</v>
      </c>
      <c r="K1159" s="169"/>
      <c r="L1159" s="162"/>
    </row>
    <row r="1160" spans="1:12" x14ac:dyDescent="0.2">
      <c r="A1160" s="5" t="s">
        <v>894</v>
      </c>
      <c r="B1160" s="7" t="s">
        <v>895</v>
      </c>
      <c r="C1160" s="29">
        <v>500000</v>
      </c>
      <c r="D1160" s="11">
        <v>0</v>
      </c>
      <c r="E1160" s="9">
        <v>0</v>
      </c>
      <c r="F1160" s="11">
        <v>0</v>
      </c>
      <c r="G1160" s="9">
        <f t="shared" si="481"/>
        <v>500000</v>
      </c>
      <c r="H1160" s="11">
        <v>0</v>
      </c>
      <c r="I1160" s="240">
        <f>'Tech-Roads'!I72</f>
        <v>0</v>
      </c>
      <c r="J1160" s="109">
        <f>'Tech-Roads'!J72</f>
        <v>500000</v>
      </c>
      <c r="K1160" s="229">
        <f>'Tech-Roads'!K72</f>
        <v>0</v>
      </c>
      <c r="L1160" s="109">
        <f>'Tech-Roads'!L72</f>
        <v>0</v>
      </c>
    </row>
    <row r="1161" spans="1:12" x14ac:dyDescent="0.2">
      <c r="A1161" s="5" t="s">
        <v>896</v>
      </c>
      <c r="B1161" s="7" t="s">
        <v>897</v>
      </c>
      <c r="C1161" s="29">
        <v>1000000</v>
      </c>
      <c r="D1161" s="11">
        <v>0</v>
      </c>
      <c r="E1161" s="9">
        <v>0</v>
      </c>
      <c r="F1161" s="11">
        <v>425316.45</v>
      </c>
      <c r="G1161" s="9">
        <f t="shared" si="481"/>
        <v>574683.55000000005</v>
      </c>
      <c r="H1161" s="11">
        <v>42.53</v>
      </c>
      <c r="I1161" s="240">
        <f>'Tech-Roads'!I73</f>
        <v>1352000</v>
      </c>
      <c r="J1161" s="162">
        <f t="shared" si="482"/>
        <v>2352000</v>
      </c>
      <c r="K1161" s="229">
        <f>'Tech-Roads'!K73</f>
        <v>2493120</v>
      </c>
      <c r="L1161" s="109">
        <f>'Tech-Roads'!L73</f>
        <v>2642707.2000000002</v>
      </c>
    </row>
    <row r="1162" spans="1:12" x14ac:dyDescent="0.2">
      <c r="A1162" s="5" t="s">
        <v>898</v>
      </c>
      <c r="B1162" s="7" t="s">
        <v>317</v>
      </c>
      <c r="C1162" s="29">
        <v>1500000</v>
      </c>
      <c r="D1162" s="11">
        <v>36228.559999999998</v>
      </c>
      <c r="E1162" s="9">
        <v>131517.69</v>
      </c>
      <c r="F1162" s="11">
        <v>514094.43</v>
      </c>
      <c r="G1162" s="9">
        <f t="shared" si="481"/>
        <v>854387.88000000012</v>
      </c>
      <c r="H1162" s="11">
        <v>34.270000000000003</v>
      </c>
      <c r="I1162" s="240">
        <f>'Tech-Roads'!I74</f>
        <v>200000</v>
      </c>
      <c r="J1162" s="162">
        <f t="shared" si="482"/>
        <v>1700000</v>
      </c>
      <c r="K1162" s="229">
        <f>'Tech-Roads'!K74</f>
        <v>1802000</v>
      </c>
      <c r="L1162" s="109">
        <f>'Tech-Roads'!L74</f>
        <v>1910120</v>
      </c>
    </row>
    <row r="1163" spans="1:12" x14ac:dyDescent="0.2">
      <c r="A1163" s="5"/>
      <c r="B1163" s="7"/>
      <c r="C1163" s="29"/>
      <c r="D1163" s="11"/>
      <c r="E1163" s="9"/>
      <c r="F1163" s="11"/>
      <c r="G1163" s="9"/>
      <c r="H1163" s="11"/>
      <c r="I1163" s="240"/>
      <c r="J1163" s="162"/>
      <c r="K1163" s="169"/>
      <c r="L1163" s="162"/>
    </row>
    <row r="1164" spans="1:12" s="3" customFormat="1" ht="15" x14ac:dyDescent="0.25">
      <c r="A1164" s="18"/>
      <c r="B1164" s="19" t="s">
        <v>1003</v>
      </c>
      <c r="C1164" s="28">
        <f>SUM(C1159:C1163)</f>
        <v>3000000</v>
      </c>
      <c r="D1164" s="36">
        <f t="shared" ref="D1164:G1164" si="483">SUM(D1159:D1163)</f>
        <v>36228.559999999998</v>
      </c>
      <c r="E1164" s="28">
        <f t="shared" si="483"/>
        <v>131517.69</v>
      </c>
      <c r="F1164" s="36">
        <f t="shared" si="483"/>
        <v>939410.88</v>
      </c>
      <c r="G1164" s="28">
        <f t="shared" si="483"/>
        <v>1929071.4300000002</v>
      </c>
      <c r="H1164" s="21">
        <v>31.31</v>
      </c>
      <c r="I1164" s="243">
        <f t="shared" ref="I1164:L1164" si="484">SUM(I1159:I1163)</f>
        <v>1552000</v>
      </c>
      <c r="J1164" s="172">
        <f t="shared" si="484"/>
        <v>4552000</v>
      </c>
      <c r="K1164" s="236">
        <f t="shared" si="484"/>
        <v>4295120</v>
      </c>
      <c r="L1164" s="172">
        <f t="shared" si="484"/>
        <v>4552827.2</v>
      </c>
    </row>
    <row r="1165" spans="1:12" s="3" customFormat="1" ht="15" x14ac:dyDescent="0.25">
      <c r="A1165" s="18"/>
      <c r="B1165" s="19"/>
      <c r="C1165" s="28"/>
      <c r="D1165" s="21"/>
      <c r="E1165" s="20"/>
      <c r="F1165" s="21"/>
      <c r="G1165" s="20"/>
      <c r="H1165" s="21"/>
      <c r="I1165" s="238"/>
      <c r="J1165" s="168"/>
      <c r="K1165" s="178"/>
      <c r="L1165" s="168"/>
    </row>
    <row r="1166" spans="1:12" s="3" customFormat="1" ht="15" x14ac:dyDescent="0.25">
      <c r="A1166" s="18"/>
      <c r="B1166" s="19" t="s">
        <v>324</v>
      </c>
      <c r="C1166" s="28"/>
      <c r="D1166" s="21"/>
      <c r="E1166" s="20"/>
      <c r="F1166" s="21"/>
      <c r="G1166" s="20"/>
      <c r="H1166" s="21"/>
      <c r="I1166" s="238"/>
      <c r="J1166" s="168"/>
      <c r="K1166" s="178"/>
      <c r="L1166" s="168"/>
    </row>
    <row r="1167" spans="1:12" s="3" customFormat="1" ht="15" x14ac:dyDescent="0.25">
      <c r="A1167" s="18"/>
      <c r="B1167" s="19"/>
      <c r="C1167" s="28"/>
      <c r="D1167" s="21"/>
      <c r="E1167" s="20"/>
      <c r="F1167" s="21"/>
      <c r="G1167" s="20"/>
      <c r="H1167" s="21"/>
      <c r="I1167" s="238"/>
      <c r="J1167" s="168"/>
      <c r="K1167" s="178"/>
      <c r="L1167" s="168"/>
    </row>
    <row r="1168" spans="1:12" x14ac:dyDescent="0.2">
      <c r="A1168" s="5" t="s">
        <v>899</v>
      </c>
      <c r="B1168" s="7" t="s">
        <v>900</v>
      </c>
      <c r="C1168" s="29">
        <v>0</v>
      </c>
      <c r="D1168" s="11">
        <v>174.11</v>
      </c>
      <c r="E1168" s="9">
        <v>0</v>
      </c>
      <c r="F1168" s="11">
        <v>1044.6600000000001</v>
      </c>
      <c r="G1168" s="9">
        <v>-1044.6600000000001</v>
      </c>
      <c r="H1168" s="11">
        <v>0</v>
      </c>
      <c r="I1168" s="240">
        <f>'Tech-Roads'!I80</f>
        <v>0</v>
      </c>
      <c r="J1168" s="162">
        <f t="shared" ref="J1168:J1173" si="485">C1168+I1168</f>
        <v>0</v>
      </c>
      <c r="K1168" s="169"/>
      <c r="L1168" s="162"/>
    </row>
    <row r="1169" spans="1:12" x14ac:dyDescent="0.2">
      <c r="A1169" s="5" t="s">
        <v>901</v>
      </c>
      <c r="B1169" s="7" t="s">
        <v>328</v>
      </c>
      <c r="C1169" s="29">
        <v>0</v>
      </c>
      <c r="D1169" s="11">
        <v>0</v>
      </c>
      <c r="E1169" s="9">
        <v>0</v>
      </c>
      <c r="F1169" s="11">
        <v>0</v>
      </c>
      <c r="G1169" s="9">
        <v>0</v>
      </c>
      <c r="H1169" s="11">
        <v>0</v>
      </c>
      <c r="I1169" s="240">
        <f>'Tech-Roads'!I81</f>
        <v>0</v>
      </c>
      <c r="J1169" s="162">
        <f t="shared" si="485"/>
        <v>0</v>
      </c>
      <c r="K1169" s="169"/>
      <c r="L1169" s="162"/>
    </row>
    <row r="1170" spans="1:12" x14ac:dyDescent="0.2">
      <c r="A1170" s="5" t="s">
        <v>902</v>
      </c>
      <c r="B1170" s="7" t="s">
        <v>330</v>
      </c>
      <c r="C1170" s="29">
        <v>0</v>
      </c>
      <c r="D1170" s="11">
        <v>0</v>
      </c>
      <c r="E1170" s="9">
        <v>0</v>
      </c>
      <c r="F1170" s="11">
        <v>0</v>
      </c>
      <c r="G1170" s="9">
        <v>0</v>
      </c>
      <c r="H1170" s="11">
        <v>0</v>
      </c>
      <c r="I1170" s="240">
        <f>'Tech-Roads'!I82</f>
        <v>0</v>
      </c>
      <c r="J1170" s="162">
        <f t="shared" si="485"/>
        <v>0</v>
      </c>
      <c r="K1170" s="169"/>
      <c r="L1170" s="162"/>
    </row>
    <row r="1171" spans="1:12" x14ac:dyDescent="0.2">
      <c r="A1171" s="5" t="s">
        <v>903</v>
      </c>
      <c r="B1171" s="7" t="s">
        <v>331</v>
      </c>
      <c r="C1171" s="29">
        <v>0</v>
      </c>
      <c r="D1171" s="11">
        <v>0</v>
      </c>
      <c r="E1171" s="9">
        <v>0</v>
      </c>
      <c r="F1171" s="11">
        <v>0</v>
      </c>
      <c r="G1171" s="9">
        <v>0</v>
      </c>
      <c r="H1171" s="11">
        <v>0</v>
      </c>
      <c r="I1171" s="240">
        <f>'Tech-Roads'!I83</f>
        <v>0</v>
      </c>
      <c r="J1171" s="162">
        <f t="shared" si="485"/>
        <v>0</v>
      </c>
      <c r="K1171" s="169"/>
      <c r="L1171" s="162"/>
    </row>
    <row r="1172" spans="1:12" x14ac:dyDescent="0.2">
      <c r="A1172" s="5" t="s">
        <v>904</v>
      </c>
      <c r="B1172" s="7" t="s">
        <v>333</v>
      </c>
      <c r="C1172" s="29">
        <v>0</v>
      </c>
      <c r="D1172" s="11">
        <v>1161.8800000000001</v>
      </c>
      <c r="E1172" s="9">
        <v>0</v>
      </c>
      <c r="F1172" s="11">
        <v>5825.44</v>
      </c>
      <c r="G1172" s="9">
        <v>-5825.44</v>
      </c>
      <c r="H1172" s="11">
        <v>0</v>
      </c>
      <c r="I1172" s="240">
        <f>'Tech-Roads'!I84</f>
        <v>0</v>
      </c>
      <c r="J1172" s="162">
        <f t="shared" si="485"/>
        <v>0</v>
      </c>
      <c r="K1172" s="169"/>
      <c r="L1172" s="162"/>
    </row>
    <row r="1173" spans="1:12" x14ac:dyDescent="0.2">
      <c r="A1173" s="5"/>
      <c r="B1173" s="7"/>
      <c r="C1173" s="29"/>
      <c r="D1173" s="11"/>
      <c r="E1173" s="9"/>
      <c r="F1173" s="11"/>
      <c r="G1173" s="9"/>
      <c r="H1173" s="11"/>
      <c r="I1173" s="240"/>
      <c r="J1173" s="162">
        <f t="shared" si="485"/>
        <v>0</v>
      </c>
      <c r="K1173" s="169"/>
      <c r="L1173" s="162"/>
    </row>
    <row r="1174" spans="1:12" s="3" customFormat="1" ht="15" x14ac:dyDescent="0.25">
      <c r="A1174" s="18"/>
      <c r="B1174" s="19" t="s">
        <v>334</v>
      </c>
      <c r="C1174" s="28">
        <f>SUM(C1168:C1173)</f>
        <v>0</v>
      </c>
      <c r="D1174" s="36">
        <f t="shared" ref="D1174:G1174" si="486">SUM(D1168:D1173)</f>
        <v>1335.9900000000002</v>
      </c>
      <c r="E1174" s="28">
        <f t="shared" si="486"/>
        <v>0</v>
      </c>
      <c r="F1174" s="36">
        <f t="shared" si="486"/>
        <v>6870.0999999999995</v>
      </c>
      <c r="G1174" s="28">
        <f t="shared" si="486"/>
        <v>-6870.0999999999995</v>
      </c>
      <c r="H1174" s="21">
        <v>0</v>
      </c>
      <c r="I1174" s="243">
        <f t="shared" ref="I1174" si="487">SUM(I1168:I1173)</f>
        <v>0</v>
      </c>
      <c r="J1174" s="172">
        <f t="shared" ref="J1174" si="488">SUM(J1168:J1173)</f>
        <v>0</v>
      </c>
      <c r="K1174" s="236">
        <f t="shared" ref="K1174" si="489">SUM(K1168:K1173)</f>
        <v>0</v>
      </c>
      <c r="L1174" s="172">
        <f t="shared" ref="L1174" si="490">SUM(L1168:L1173)</f>
        <v>0</v>
      </c>
    </row>
    <row r="1175" spans="1:12" s="3" customFormat="1" ht="15" x14ac:dyDescent="0.25">
      <c r="A1175" s="18"/>
      <c r="B1175" s="19"/>
      <c r="C1175" s="28"/>
      <c r="D1175" s="21"/>
      <c r="E1175" s="20"/>
      <c r="F1175" s="21"/>
      <c r="G1175" s="20"/>
      <c r="H1175" s="21"/>
      <c r="I1175" s="238"/>
      <c r="J1175" s="168"/>
      <c r="K1175" s="178"/>
      <c r="L1175" s="168"/>
    </row>
    <row r="1176" spans="1:12" s="3" customFormat="1" ht="15" x14ac:dyDescent="0.25">
      <c r="A1176" s="18"/>
      <c r="B1176" s="19" t="s">
        <v>338</v>
      </c>
      <c r="C1176" s="28">
        <f>C1129+C1155+C1164+C1174</f>
        <v>8601761</v>
      </c>
      <c r="D1176" s="36">
        <f t="shared" ref="D1176:L1176" si="491">D1129+D1155+D1164+D1174</f>
        <v>483552.31</v>
      </c>
      <c r="E1176" s="28">
        <f t="shared" si="491"/>
        <v>142290.253</v>
      </c>
      <c r="F1176" s="36">
        <f t="shared" si="491"/>
        <v>3569399.75</v>
      </c>
      <c r="G1176" s="28">
        <f t="shared" si="491"/>
        <v>4890070.9969999995</v>
      </c>
      <c r="H1176" s="21">
        <v>41.49</v>
      </c>
      <c r="I1176" s="243">
        <f t="shared" si="491"/>
        <v>1921133.6</v>
      </c>
      <c r="J1176" s="172">
        <f t="shared" si="491"/>
        <v>10522894.6</v>
      </c>
      <c r="K1176" s="236">
        <f t="shared" si="491"/>
        <v>10571268.276000001</v>
      </c>
      <c r="L1176" s="172">
        <f t="shared" si="491"/>
        <v>11205544.37256</v>
      </c>
    </row>
    <row r="1177" spans="1:12" x14ac:dyDescent="0.2">
      <c r="A1177" s="5"/>
      <c r="B1177" s="7"/>
      <c r="C1177" s="29"/>
      <c r="D1177" s="11"/>
      <c r="E1177" s="9"/>
      <c r="F1177" s="11"/>
      <c r="G1177" s="9"/>
      <c r="H1177" s="11"/>
      <c r="I1177" s="240"/>
      <c r="J1177" s="162"/>
      <c r="K1177" s="169"/>
      <c r="L1177" s="162"/>
    </row>
    <row r="1178" spans="1:12" s="3" customFormat="1" ht="15" x14ac:dyDescent="0.25">
      <c r="A1178" s="18"/>
      <c r="B1178" s="19" t="s">
        <v>339</v>
      </c>
      <c r="C1178" s="28">
        <f>C1176</f>
        <v>8601761</v>
      </c>
      <c r="D1178" s="36">
        <f t="shared" ref="D1178:L1178" si="492">D1176</f>
        <v>483552.31</v>
      </c>
      <c r="E1178" s="28">
        <f t="shared" si="492"/>
        <v>142290.253</v>
      </c>
      <c r="F1178" s="36">
        <f t="shared" si="492"/>
        <v>3569399.75</v>
      </c>
      <c r="G1178" s="28">
        <f t="shared" si="492"/>
        <v>4890070.9969999995</v>
      </c>
      <c r="H1178" s="21">
        <v>41.49</v>
      </c>
      <c r="I1178" s="243">
        <f t="shared" si="492"/>
        <v>1921133.6</v>
      </c>
      <c r="J1178" s="172">
        <f t="shared" si="492"/>
        <v>10522894.6</v>
      </c>
      <c r="K1178" s="236">
        <f t="shared" si="492"/>
        <v>10571268.276000001</v>
      </c>
      <c r="L1178" s="172">
        <f t="shared" si="492"/>
        <v>11205544.37256</v>
      </c>
    </row>
    <row r="1179" spans="1:12" s="3" customFormat="1" ht="15" x14ac:dyDescent="0.25">
      <c r="A1179" s="18"/>
      <c r="B1179" s="19"/>
      <c r="C1179" s="28"/>
      <c r="D1179" s="21"/>
      <c r="E1179" s="20"/>
      <c r="F1179" s="21"/>
      <c r="G1179" s="20"/>
      <c r="H1179" s="21"/>
      <c r="I1179" s="238"/>
      <c r="J1179" s="168"/>
      <c r="K1179" s="178"/>
      <c r="L1179" s="168"/>
    </row>
    <row r="1180" spans="1:12" s="3" customFormat="1" ht="15" x14ac:dyDescent="0.25">
      <c r="A1180" s="18"/>
      <c r="B1180" s="19" t="s">
        <v>340</v>
      </c>
      <c r="C1180" s="28"/>
      <c r="D1180" s="21"/>
      <c r="E1180" s="20"/>
      <c r="F1180" s="21"/>
      <c r="G1180" s="20"/>
      <c r="H1180" s="21"/>
      <c r="I1180" s="238"/>
      <c r="J1180" s="168"/>
      <c r="K1180" s="178"/>
      <c r="L1180" s="168"/>
    </row>
    <row r="1181" spans="1:12" s="3" customFormat="1" ht="15" x14ac:dyDescent="0.25">
      <c r="A1181" s="18"/>
      <c r="B1181" s="19"/>
      <c r="C1181" s="28"/>
      <c r="D1181" s="21"/>
      <c r="E1181" s="20"/>
      <c r="F1181" s="21"/>
      <c r="G1181" s="20"/>
      <c r="H1181" s="21"/>
      <c r="I1181" s="238"/>
      <c r="J1181" s="168"/>
      <c r="K1181" s="178"/>
      <c r="L1181" s="168"/>
    </row>
    <row r="1182" spans="1:12" s="3" customFormat="1" ht="15" x14ac:dyDescent="0.25">
      <c r="A1182" s="18"/>
      <c r="B1182" s="19" t="s">
        <v>361</v>
      </c>
      <c r="C1182" s="28"/>
      <c r="D1182" s="21"/>
      <c r="E1182" s="20"/>
      <c r="F1182" s="21"/>
      <c r="G1182" s="20"/>
      <c r="H1182" s="21"/>
      <c r="I1182" s="238"/>
      <c r="J1182" s="168"/>
      <c r="K1182" s="178"/>
      <c r="L1182" s="168"/>
    </row>
    <row r="1183" spans="1:12" s="3" customFormat="1" ht="15" x14ac:dyDescent="0.25">
      <c r="A1183" s="18"/>
      <c r="B1183" s="19"/>
      <c r="C1183" s="28"/>
      <c r="D1183" s="21"/>
      <c r="E1183" s="20"/>
      <c r="F1183" s="21"/>
      <c r="G1183" s="20"/>
      <c r="H1183" s="21"/>
      <c r="I1183" s="238"/>
      <c r="J1183" s="168"/>
      <c r="K1183" s="178"/>
      <c r="L1183" s="168"/>
    </row>
    <row r="1184" spans="1:12" x14ac:dyDescent="0.2">
      <c r="A1184" s="5" t="s">
        <v>905</v>
      </c>
      <c r="B1184" s="7" t="s">
        <v>363</v>
      </c>
      <c r="C1184" s="29">
        <v>-30017000</v>
      </c>
      <c r="D1184" s="11">
        <v>-10808096.710000001</v>
      </c>
      <c r="E1184" s="9">
        <v>0</v>
      </c>
      <c r="F1184" s="11">
        <v>-12463964.449999999</v>
      </c>
      <c r="G1184" s="9">
        <v>-17553035.550000001</v>
      </c>
      <c r="H1184" s="11">
        <v>41.52</v>
      </c>
      <c r="I1184" s="240">
        <f>'Tech-Roads'!I96</f>
        <v>-320857</v>
      </c>
      <c r="J1184" s="109">
        <f>'Tech-Roads'!J96</f>
        <v>-30337857</v>
      </c>
      <c r="K1184" s="229">
        <f>'Tech-Roads'!K96</f>
        <v>-31097000</v>
      </c>
      <c r="L1184" s="109">
        <f>'Tech-Roads'!L96</f>
        <v>-32715000</v>
      </c>
    </row>
    <row r="1185" spans="1:12" x14ac:dyDescent="0.2">
      <c r="A1185" s="5" t="s">
        <v>906</v>
      </c>
      <c r="B1185" s="7" t="s">
        <v>367</v>
      </c>
      <c r="C1185" s="29">
        <v>-1000000</v>
      </c>
      <c r="D1185" s="11">
        <v>-186310</v>
      </c>
      <c r="E1185" s="9">
        <v>0</v>
      </c>
      <c r="F1185" s="11">
        <v>-283830</v>
      </c>
      <c r="G1185" s="9">
        <v>-716170</v>
      </c>
      <c r="H1185" s="11">
        <v>28.38</v>
      </c>
      <c r="I1185" s="240">
        <f>'Tech-Roads'!I97</f>
        <v>0</v>
      </c>
      <c r="J1185" s="162">
        <f t="shared" ref="J1185:J1186" si="493">C1185+I1185</f>
        <v>-1000000</v>
      </c>
      <c r="K1185" s="229">
        <f>'Tech-Roads'!K97</f>
        <v>0</v>
      </c>
      <c r="L1185" s="109">
        <f>'Tech-Roads'!L97</f>
        <v>0</v>
      </c>
    </row>
    <row r="1186" spans="1:12" x14ac:dyDescent="0.2">
      <c r="A1186" s="5"/>
      <c r="B1186" s="7"/>
      <c r="C1186" s="29"/>
      <c r="D1186" s="11"/>
      <c r="E1186" s="9"/>
      <c r="F1186" s="11"/>
      <c r="G1186" s="9"/>
      <c r="H1186" s="11"/>
      <c r="I1186" s="240"/>
      <c r="J1186" s="162">
        <f t="shared" si="493"/>
        <v>0</v>
      </c>
      <c r="K1186" s="169"/>
      <c r="L1186" s="109">
        <f>'Tech-Roads'!L98</f>
        <v>0</v>
      </c>
    </row>
    <row r="1187" spans="1:12" s="3" customFormat="1" ht="15" x14ac:dyDescent="0.25">
      <c r="A1187" s="18"/>
      <c r="B1187" s="19" t="s">
        <v>368</v>
      </c>
      <c r="C1187" s="28">
        <f>SUM(C1184:C1186)</f>
        <v>-31017000</v>
      </c>
      <c r="D1187" s="36">
        <f t="shared" ref="D1187:G1187" si="494">SUM(D1184:D1186)</f>
        <v>-10994406.710000001</v>
      </c>
      <c r="E1187" s="28">
        <f t="shared" si="494"/>
        <v>0</v>
      </c>
      <c r="F1187" s="36">
        <f t="shared" si="494"/>
        <v>-12747794.449999999</v>
      </c>
      <c r="G1187" s="28">
        <f t="shared" si="494"/>
        <v>-18269205.550000001</v>
      </c>
      <c r="H1187" s="21">
        <v>41.09</v>
      </c>
      <c r="I1187" s="243">
        <f t="shared" ref="I1187" si="495">SUM(I1184:I1186)</f>
        <v>-320857</v>
      </c>
      <c r="J1187" s="172">
        <f t="shared" ref="J1187" si="496">SUM(J1184:J1186)</f>
        <v>-31337857</v>
      </c>
      <c r="K1187" s="236">
        <f t="shared" ref="K1187" si="497">SUM(K1184:K1186)</f>
        <v>-31097000</v>
      </c>
      <c r="L1187" s="172">
        <f t="shared" ref="L1187" si="498">SUM(L1184:L1186)</f>
        <v>-32715000</v>
      </c>
    </row>
    <row r="1188" spans="1:12" s="3" customFormat="1" ht="15" x14ac:dyDescent="0.25">
      <c r="A1188" s="18"/>
      <c r="B1188" s="19"/>
      <c r="C1188" s="28"/>
      <c r="D1188" s="21"/>
      <c r="E1188" s="20"/>
      <c r="F1188" s="21"/>
      <c r="G1188" s="20"/>
      <c r="H1188" s="21"/>
      <c r="I1188" s="238"/>
      <c r="J1188" s="168"/>
      <c r="K1188" s="178"/>
      <c r="L1188" s="168"/>
    </row>
    <row r="1189" spans="1:12" s="3" customFormat="1" ht="15" x14ac:dyDescent="0.25">
      <c r="A1189" s="18"/>
      <c r="B1189" s="19" t="s">
        <v>427</v>
      </c>
      <c r="C1189" s="28">
        <f>C1187</f>
        <v>-31017000</v>
      </c>
      <c r="D1189" s="36">
        <f t="shared" ref="D1189:L1189" si="499">D1187</f>
        <v>-10994406.710000001</v>
      </c>
      <c r="E1189" s="28">
        <f t="shared" si="499"/>
        <v>0</v>
      </c>
      <c r="F1189" s="36">
        <f t="shared" si="499"/>
        <v>-12747794.449999999</v>
      </c>
      <c r="G1189" s="28">
        <f t="shared" si="499"/>
        <v>-18269205.550000001</v>
      </c>
      <c r="H1189" s="21">
        <v>41.09</v>
      </c>
      <c r="I1189" s="243">
        <f t="shared" si="499"/>
        <v>-320857</v>
      </c>
      <c r="J1189" s="172">
        <f t="shared" si="499"/>
        <v>-31337857</v>
      </c>
      <c r="K1189" s="236">
        <f t="shared" si="499"/>
        <v>-31097000</v>
      </c>
      <c r="L1189" s="172">
        <f t="shared" si="499"/>
        <v>-32715000</v>
      </c>
    </row>
    <row r="1190" spans="1:12" x14ac:dyDescent="0.2">
      <c r="A1190" s="5"/>
      <c r="B1190" s="7"/>
      <c r="C1190" s="29"/>
      <c r="D1190" s="11"/>
      <c r="E1190" s="9"/>
      <c r="F1190" s="11"/>
      <c r="G1190" s="9"/>
      <c r="H1190" s="11"/>
      <c r="I1190" s="240"/>
      <c r="J1190" s="162"/>
      <c r="K1190" s="169"/>
      <c r="L1190" s="162"/>
    </row>
    <row r="1191" spans="1:12" s="3" customFormat="1" ht="15" x14ac:dyDescent="0.25">
      <c r="A1191" s="18"/>
      <c r="B1191" s="19" t="s">
        <v>428</v>
      </c>
      <c r="C1191" s="28">
        <f>C1189</f>
        <v>-31017000</v>
      </c>
      <c r="D1191" s="36">
        <f t="shared" ref="D1191:L1191" si="500">D1189</f>
        <v>-10994406.710000001</v>
      </c>
      <c r="E1191" s="28">
        <f t="shared" si="500"/>
        <v>0</v>
      </c>
      <c r="F1191" s="36">
        <f t="shared" si="500"/>
        <v>-12747794.449999999</v>
      </c>
      <c r="G1191" s="28">
        <f t="shared" si="500"/>
        <v>-18269205.550000001</v>
      </c>
      <c r="H1191" s="21">
        <v>41.09</v>
      </c>
      <c r="I1191" s="243">
        <f t="shared" si="500"/>
        <v>-320857</v>
      </c>
      <c r="J1191" s="172">
        <f t="shared" si="500"/>
        <v>-31337857</v>
      </c>
      <c r="K1191" s="236">
        <f t="shared" si="500"/>
        <v>-31097000</v>
      </c>
      <c r="L1191" s="172">
        <f t="shared" si="500"/>
        <v>-32715000</v>
      </c>
    </row>
    <row r="1192" spans="1:12" x14ac:dyDescent="0.2">
      <c r="A1192" s="5"/>
      <c r="B1192" s="7"/>
      <c r="C1192" s="29"/>
      <c r="D1192" s="11"/>
      <c r="E1192" s="9"/>
      <c r="F1192" s="11"/>
      <c r="G1192" s="9"/>
      <c r="H1192" s="11"/>
      <c r="I1192" s="240"/>
      <c r="J1192" s="162"/>
      <c r="K1192" s="169"/>
      <c r="L1192" s="162"/>
    </row>
    <row r="1193" spans="1:12" s="3" customFormat="1" ht="15" x14ac:dyDescent="0.25">
      <c r="A1193" s="18"/>
      <c r="B1193" s="19" t="s">
        <v>429</v>
      </c>
      <c r="C1193" s="28">
        <f>C1191</f>
        <v>-31017000</v>
      </c>
      <c r="D1193" s="36">
        <f t="shared" ref="D1193:L1193" si="501">D1191</f>
        <v>-10994406.710000001</v>
      </c>
      <c r="E1193" s="28">
        <f t="shared" si="501"/>
        <v>0</v>
      </c>
      <c r="F1193" s="36">
        <f t="shared" si="501"/>
        <v>-12747794.449999999</v>
      </c>
      <c r="G1193" s="28">
        <f t="shared" si="501"/>
        <v>-18269205.550000001</v>
      </c>
      <c r="H1193" s="21">
        <v>41.09</v>
      </c>
      <c r="I1193" s="243">
        <f t="shared" si="501"/>
        <v>-320857</v>
      </c>
      <c r="J1193" s="172">
        <f t="shared" si="501"/>
        <v>-31337857</v>
      </c>
      <c r="K1193" s="236">
        <f t="shared" si="501"/>
        <v>-31097000</v>
      </c>
      <c r="L1193" s="172">
        <f t="shared" si="501"/>
        <v>-32715000</v>
      </c>
    </row>
    <row r="1194" spans="1:12" s="3" customFormat="1" ht="15" x14ac:dyDescent="0.25">
      <c r="A1194" s="18"/>
      <c r="B1194" s="19"/>
      <c r="C1194" s="28"/>
      <c r="D1194" s="21"/>
      <c r="E1194" s="20"/>
      <c r="F1194" s="21"/>
      <c r="G1194" s="20"/>
      <c r="H1194" s="21"/>
      <c r="I1194" s="238"/>
      <c r="J1194" s="168"/>
      <c r="K1194" s="178"/>
      <c r="L1194" s="168"/>
    </row>
    <row r="1195" spans="1:12" s="3" customFormat="1" ht="15" x14ac:dyDescent="0.25">
      <c r="A1195" s="18"/>
      <c r="B1195" s="19" t="s">
        <v>430</v>
      </c>
      <c r="C1195" s="28"/>
      <c r="D1195" s="21"/>
      <c r="E1195" s="20"/>
      <c r="F1195" s="21"/>
      <c r="G1195" s="20"/>
      <c r="H1195" s="21"/>
      <c r="I1195" s="238"/>
      <c r="J1195" s="168"/>
      <c r="K1195" s="178"/>
      <c r="L1195" s="168"/>
    </row>
    <row r="1196" spans="1:12" s="3" customFormat="1" ht="15" x14ac:dyDescent="0.25">
      <c r="A1196" s="18"/>
      <c r="B1196" s="19"/>
      <c r="C1196" s="28"/>
      <c r="D1196" s="21"/>
      <c r="E1196" s="20"/>
      <c r="F1196" s="21"/>
      <c r="G1196" s="20"/>
      <c r="H1196" s="21"/>
      <c r="I1196" s="238"/>
      <c r="J1196" s="168"/>
      <c r="K1196" s="178"/>
      <c r="L1196" s="168"/>
    </row>
    <row r="1197" spans="1:12" s="3" customFormat="1" ht="15" x14ac:dyDescent="0.25">
      <c r="A1197" s="18"/>
      <c r="B1197" s="19" t="s">
        <v>431</v>
      </c>
      <c r="C1197" s="28"/>
      <c r="D1197" s="21"/>
      <c r="E1197" s="20"/>
      <c r="F1197" s="21"/>
      <c r="G1197" s="20"/>
      <c r="H1197" s="21"/>
      <c r="I1197" s="238"/>
      <c r="J1197" s="168"/>
      <c r="K1197" s="178"/>
      <c r="L1197" s="168"/>
    </row>
    <row r="1198" spans="1:12" s="3" customFormat="1" ht="15" x14ac:dyDescent="0.25">
      <c r="A1198" s="18"/>
      <c r="B1198" s="19"/>
      <c r="C1198" s="28"/>
      <c r="D1198" s="21"/>
      <c r="E1198" s="20"/>
      <c r="F1198" s="21"/>
      <c r="G1198" s="20"/>
      <c r="H1198" s="21"/>
      <c r="I1198" s="238"/>
      <c r="J1198" s="168"/>
      <c r="K1198" s="178"/>
      <c r="L1198" s="168"/>
    </row>
    <row r="1199" spans="1:12" x14ac:dyDescent="0.2">
      <c r="A1199" s="5" t="s">
        <v>907</v>
      </c>
      <c r="B1199" s="7" t="s">
        <v>433</v>
      </c>
      <c r="C1199" s="29">
        <f>C1178</f>
        <v>8601761</v>
      </c>
      <c r="D1199" s="37">
        <f t="shared" ref="D1199:G1199" si="502">D1178</f>
        <v>483552.31</v>
      </c>
      <c r="E1199" s="29">
        <f t="shared" si="502"/>
        <v>142290.253</v>
      </c>
      <c r="F1199" s="37">
        <f t="shared" si="502"/>
        <v>3569399.75</v>
      </c>
      <c r="G1199" s="29">
        <f t="shared" si="502"/>
        <v>4890070.9969999995</v>
      </c>
      <c r="H1199" s="11">
        <v>41.49</v>
      </c>
      <c r="I1199" s="239">
        <f>I1178</f>
        <v>1921133.6</v>
      </c>
      <c r="J1199" s="162">
        <f t="shared" ref="J1199:J1200" si="503">C1199+I1199</f>
        <v>10522894.6</v>
      </c>
      <c r="K1199" s="169">
        <f>D1199+J1199</f>
        <v>11006446.91</v>
      </c>
      <c r="L1199" s="162">
        <f>E1199+K1199</f>
        <v>11148737.163000001</v>
      </c>
    </row>
    <row r="1200" spans="1:12" x14ac:dyDescent="0.2">
      <c r="A1200" s="5" t="s">
        <v>908</v>
      </c>
      <c r="B1200" s="7" t="s">
        <v>429</v>
      </c>
      <c r="C1200" s="29">
        <f>C1193</f>
        <v>-31017000</v>
      </c>
      <c r="D1200" s="37">
        <f t="shared" ref="D1200:G1200" si="504">D1193</f>
        <v>-10994406.710000001</v>
      </c>
      <c r="E1200" s="29">
        <f t="shared" si="504"/>
        <v>0</v>
      </c>
      <c r="F1200" s="37">
        <f t="shared" si="504"/>
        <v>-12747794.449999999</v>
      </c>
      <c r="G1200" s="29">
        <f t="shared" si="504"/>
        <v>-18269205.550000001</v>
      </c>
      <c r="H1200" s="11">
        <v>41.09</v>
      </c>
      <c r="I1200" s="240">
        <f>I1193</f>
        <v>-320857</v>
      </c>
      <c r="J1200" s="162">
        <f t="shared" si="503"/>
        <v>-31337857</v>
      </c>
      <c r="K1200" s="169">
        <f>D1200+J1200</f>
        <v>-42332263.710000001</v>
      </c>
      <c r="L1200" s="162"/>
    </row>
    <row r="1201" spans="1:12" x14ac:dyDescent="0.2">
      <c r="A1201" s="5"/>
      <c r="B1201" s="7"/>
      <c r="C1201" s="29"/>
      <c r="D1201" s="11"/>
      <c r="E1201" s="9"/>
      <c r="F1201" s="11"/>
      <c r="G1201" s="9"/>
      <c r="H1201" s="11"/>
      <c r="I1201" s="240"/>
      <c r="J1201" s="162"/>
      <c r="K1201" s="169"/>
      <c r="L1201" s="162"/>
    </row>
    <row r="1202" spans="1:12" s="3" customFormat="1" ht="15" x14ac:dyDescent="0.25">
      <c r="A1202" s="18"/>
      <c r="B1202" s="19" t="s">
        <v>435</v>
      </c>
      <c r="C1202" s="28">
        <f>C1199+C1200</f>
        <v>-22415239</v>
      </c>
      <c r="D1202" s="36">
        <f t="shared" ref="D1202:G1202" si="505">D1199+D1200</f>
        <v>-10510854.4</v>
      </c>
      <c r="E1202" s="28">
        <f t="shared" si="505"/>
        <v>142290.253</v>
      </c>
      <c r="F1202" s="36">
        <f t="shared" si="505"/>
        <v>-9178394.6999999993</v>
      </c>
      <c r="G1202" s="28">
        <f t="shared" si="505"/>
        <v>-13379134.553000001</v>
      </c>
      <c r="H1202" s="21">
        <v>40.94</v>
      </c>
      <c r="I1202" s="243">
        <f t="shared" ref="I1202:L1202" si="506">I1199+I1200</f>
        <v>1600276.6</v>
      </c>
      <c r="J1202" s="172">
        <f t="shared" si="506"/>
        <v>-20814962.399999999</v>
      </c>
      <c r="K1202" s="236">
        <f t="shared" si="506"/>
        <v>-31325816.800000001</v>
      </c>
      <c r="L1202" s="172">
        <f t="shared" si="506"/>
        <v>11148737.163000001</v>
      </c>
    </row>
    <row r="1203" spans="1:12" x14ac:dyDescent="0.2">
      <c r="A1203" s="5"/>
      <c r="B1203" s="7"/>
      <c r="C1203" s="29"/>
      <c r="D1203" s="11"/>
      <c r="E1203" s="9"/>
      <c r="F1203" s="11"/>
      <c r="G1203" s="9"/>
      <c r="H1203" s="11"/>
      <c r="I1203" s="240"/>
      <c r="J1203" s="162"/>
      <c r="K1203" s="169"/>
      <c r="L1203" s="162"/>
    </row>
    <row r="1204" spans="1:12" s="3" customFormat="1" ht="15" x14ac:dyDescent="0.25">
      <c r="A1204" s="18"/>
      <c r="B1204" s="19" t="s">
        <v>436</v>
      </c>
      <c r="C1204" s="28">
        <f>C1202</f>
        <v>-22415239</v>
      </c>
      <c r="D1204" s="36">
        <f t="shared" ref="D1204:G1204" si="507">D1202</f>
        <v>-10510854.4</v>
      </c>
      <c r="E1204" s="28">
        <f t="shared" si="507"/>
        <v>142290.253</v>
      </c>
      <c r="F1204" s="36">
        <f t="shared" si="507"/>
        <v>-9178394.6999999993</v>
      </c>
      <c r="G1204" s="28">
        <f t="shared" si="507"/>
        <v>-13379134.553000001</v>
      </c>
      <c r="H1204" s="21">
        <v>40.94</v>
      </c>
      <c r="I1204" s="243">
        <f t="shared" ref="I1204:L1204" si="508">I1202</f>
        <v>1600276.6</v>
      </c>
      <c r="J1204" s="172">
        <f t="shared" si="508"/>
        <v>-20814962.399999999</v>
      </c>
      <c r="K1204" s="236">
        <f t="shared" si="508"/>
        <v>-31325816.800000001</v>
      </c>
      <c r="L1204" s="172">
        <f t="shared" si="508"/>
        <v>11148737.163000001</v>
      </c>
    </row>
    <row r="1205" spans="1:12" x14ac:dyDescent="0.2">
      <c r="A1205" s="5"/>
      <c r="B1205" s="7"/>
      <c r="C1205" s="29"/>
      <c r="D1205" s="11"/>
      <c r="E1205" s="9"/>
      <c r="F1205" s="11"/>
      <c r="G1205" s="9"/>
      <c r="H1205" s="11"/>
      <c r="I1205" s="240"/>
      <c r="J1205" s="162"/>
      <c r="K1205" s="169"/>
      <c r="L1205" s="162"/>
    </row>
    <row r="1206" spans="1:12" s="3" customFormat="1" ht="15" x14ac:dyDescent="0.25">
      <c r="A1206" s="18"/>
      <c r="B1206" s="19" t="s">
        <v>437</v>
      </c>
      <c r="C1206" s="28"/>
      <c r="D1206" s="21"/>
      <c r="E1206" s="20"/>
      <c r="F1206" s="21"/>
      <c r="G1206" s="20"/>
      <c r="H1206" s="21"/>
      <c r="I1206" s="238"/>
      <c r="J1206" s="168"/>
      <c r="K1206" s="178"/>
      <c r="L1206" s="168"/>
    </row>
    <row r="1207" spans="1:12" x14ac:dyDescent="0.2">
      <c r="A1207" s="5"/>
      <c r="B1207" s="7"/>
      <c r="C1207" s="29"/>
      <c r="D1207" s="11"/>
      <c r="E1207" s="9"/>
      <c r="F1207" s="11"/>
      <c r="G1207" s="9"/>
      <c r="H1207" s="11"/>
      <c r="I1207" s="240"/>
      <c r="J1207" s="162"/>
      <c r="K1207" s="169"/>
      <c r="L1207" s="162"/>
    </row>
    <row r="1208" spans="1:12" s="323" customFormat="1" x14ac:dyDescent="0.2">
      <c r="A1208" s="319" t="s">
        <v>909</v>
      </c>
      <c r="B1208" s="320" t="s">
        <v>444</v>
      </c>
      <c r="C1208" s="321">
        <v>0</v>
      </c>
      <c r="D1208" s="322">
        <v>0</v>
      </c>
      <c r="E1208" s="241">
        <v>0</v>
      </c>
      <c r="F1208" s="322">
        <v>0</v>
      </c>
      <c r="G1208" s="241">
        <f t="shared" ref="G1208:G1216" si="509">C1208-E1208-F1208</f>
        <v>0</v>
      </c>
      <c r="H1208" s="322">
        <v>0</v>
      </c>
      <c r="I1208" s="240">
        <f>'Tech-Roads'!I120</f>
        <v>1413090</v>
      </c>
      <c r="J1208" s="109">
        <f>C1208+I1208</f>
        <v>1413090</v>
      </c>
      <c r="K1208" s="229">
        <f>'Tech-Roads'!K120</f>
        <v>0</v>
      </c>
      <c r="L1208" s="109">
        <f>'Tech-Roads'!L120</f>
        <v>0</v>
      </c>
    </row>
    <row r="1209" spans="1:12" s="323" customFormat="1" x14ac:dyDescent="0.2">
      <c r="A1209" s="319"/>
      <c r="B1209" s="313" t="s">
        <v>1086</v>
      </c>
      <c r="C1209" s="321"/>
      <c r="D1209" s="322"/>
      <c r="E1209" s="241"/>
      <c r="F1209" s="322"/>
      <c r="G1209" s="241"/>
      <c r="H1209" s="322"/>
      <c r="I1209" s="240">
        <f>'Tech-Roads'!I121</f>
        <v>0</v>
      </c>
      <c r="J1209" s="109">
        <f t="shared" ref="J1209:J1216" si="510">C1209+I1209</f>
        <v>0</v>
      </c>
      <c r="K1209" s="229">
        <f>'Tech-Roads'!K121</f>
        <v>0</v>
      </c>
      <c r="L1209" s="109">
        <f>'Tech-Roads'!L121</f>
        <v>0</v>
      </c>
    </row>
    <row r="1210" spans="1:12" s="323" customFormat="1" x14ac:dyDescent="0.2">
      <c r="A1210" s="319" t="s">
        <v>910</v>
      </c>
      <c r="B1210" s="320" t="s">
        <v>446</v>
      </c>
      <c r="C1210" s="321">
        <v>500000</v>
      </c>
      <c r="D1210" s="322">
        <v>0</v>
      </c>
      <c r="E1210" s="241">
        <v>0</v>
      </c>
      <c r="F1210" s="322">
        <v>0</v>
      </c>
      <c r="G1210" s="241">
        <f t="shared" si="509"/>
        <v>500000</v>
      </c>
      <c r="H1210" s="322">
        <v>0</v>
      </c>
      <c r="I1210" s="240">
        <f>'Tech-Roads'!I122</f>
        <v>-80000</v>
      </c>
      <c r="J1210" s="109">
        <f t="shared" si="510"/>
        <v>420000</v>
      </c>
      <c r="K1210" s="229"/>
      <c r="L1210" s="109"/>
    </row>
    <row r="1211" spans="1:12" s="323" customFormat="1" x14ac:dyDescent="0.2">
      <c r="A1211" s="319" t="s">
        <v>911</v>
      </c>
      <c r="B1211" s="320" t="s">
        <v>448</v>
      </c>
      <c r="C1211" s="321">
        <v>500000</v>
      </c>
      <c r="D1211" s="322">
        <v>0</v>
      </c>
      <c r="E1211" s="241">
        <v>0</v>
      </c>
      <c r="F1211" s="322">
        <v>0</v>
      </c>
      <c r="G1211" s="241">
        <f t="shared" si="509"/>
        <v>500000</v>
      </c>
      <c r="H1211" s="322">
        <v>0</v>
      </c>
      <c r="I1211" s="240">
        <f>'Tech-Roads'!I123</f>
        <v>-80000</v>
      </c>
      <c r="J1211" s="109">
        <f t="shared" si="510"/>
        <v>420000</v>
      </c>
      <c r="K1211" s="229"/>
      <c r="L1211" s="109"/>
    </row>
    <row r="1212" spans="1:12" s="323" customFormat="1" x14ac:dyDescent="0.2">
      <c r="A1212" s="319" t="s">
        <v>912</v>
      </c>
      <c r="B1212" s="320" t="s">
        <v>497</v>
      </c>
      <c r="C1212" s="321">
        <v>3000000</v>
      </c>
      <c r="D1212" s="322">
        <v>0</v>
      </c>
      <c r="E1212" s="241">
        <v>0</v>
      </c>
      <c r="F1212" s="322">
        <v>2193087.5499999998</v>
      </c>
      <c r="G1212" s="241">
        <f t="shared" si="509"/>
        <v>806912.45000000019</v>
      </c>
      <c r="H1212" s="322">
        <v>73.099999999999994</v>
      </c>
      <c r="I1212" s="240">
        <f>'Tech-Roads'!I124</f>
        <v>-806912</v>
      </c>
      <c r="J1212" s="109">
        <f t="shared" si="510"/>
        <v>2193088</v>
      </c>
      <c r="K1212" s="229"/>
      <c r="L1212" s="109"/>
    </row>
    <row r="1213" spans="1:12" s="323" customFormat="1" x14ac:dyDescent="0.2">
      <c r="A1213" s="319" t="s">
        <v>913</v>
      </c>
      <c r="B1213" s="320" t="s">
        <v>455</v>
      </c>
      <c r="C1213" s="321">
        <v>10000000</v>
      </c>
      <c r="D1213" s="322">
        <v>0</v>
      </c>
      <c r="E1213" s="241">
        <v>0</v>
      </c>
      <c r="F1213" s="322">
        <v>0</v>
      </c>
      <c r="G1213" s="241">
        <f t="shared" si="509"/>
        <v>10000000</v>
      </c>
      <c r="H1213" s="322">
        <v>0</v>
      </c>
      <c r="I1213" s="240">
        <f>'Tech-Roads'!I125</f>
        <v>0</v>
      </c>
      <c r="J1213" s="109">
        <f t="shared" si="510"/>
        <v>10000000</v>
      </c>
      <c r="K1213" s="229">
        <f>'Tech-Roads'!K125</f>
        <v>15900000</v>
      </c>
      <c r="L1213" s="109">
        <f>'Tech-Roads'!L125</f>
        <v>5700000</v>
      </c>
    </row>
    <row r="1214" spans="1:12" s="323" customFormat="1" x14ac:dyDescent="0.2">
      <c r="A1214" s="319" t="s">
        <v>914</v>
      </c>
      <c r="B1214" s="320" t="s">
        <v>449</v>
      </c>
      <c r="C1214" s="321">
        <v>0</v>
      </c>
      <c r="D1214" s="322">
        <v>0</v>
      </c>
      <c r="E1214" s="241">
        <v>0</v>
      </c>
      <c r="F1214" s="322">
        <v>1082928</v>
      </c>
      <c r="G1214" s="241">
        <f t="shared" si="509"/>
        <v>-1082928</v>
      </c>
      <c r="H1214" s="322">
        <v>0</v>
      </c>
      <c r="I1214" s="240">
        <f>'Tech-Roads'!I126</f>
        <v>1234538</v>
      </c>
      <c r="J1214" s="109">
        <f t="shared" si="510"/>
        <v>1234538</v>
      </c>
      <c r="K1214" s="229"/>
      <c r="L1214" s="109"/>
    </row>
    <row r="1215" spans="1:12" s="323" customFormat="1" x14ac:dyDescent="0.2">
      <c r="A1215" s="319"/>
      <c r="B1215" s="313" t="s">
        <v>1087</v>
      </c>
      <c r="C1215" s="321"/>
      <c r="D1215" s="322"/>
      <c r="E1215" s="241"/>
      <c r="F1215" s="322"/>
      <c r="G1215" s="241"/>
      <c r="H1215" s="322"/>
      <c r="I1215" s="240">
        <f>'Tech-Roads'!I127</f>
        <v>0</v>
      </c>
      <c r="J1215" s="109">
        <f t="shared" si="510"/>
        <v>0</v>
      </c>
      <c r="K1215" s="229">
        <f>'Tech-Roads'!K127</f>
        <v>0</v>
      </c>
      <c r="L1215" s="109">
        <f>'Tech-Roads'!L127</f>
        <v>0</v>
      </c>
    </row>
    <row r="1216" spans="1:12" s="323" customFormat="1" x14ac:dyDescent="0.2">
      <c r="A1216" s="319" t="s">
        <v>915</v>
      </c>
      <c r="B1216" s="320" t="s">
        <v>464</v>
      </c>
      <c r="C1216" s="321">
        <v>500000</v>
      </c>
      <c r="D1216" s="322">
        <v>0</v>
      </c>
      <c r="E1216" s="241">
        <v>0</v>
      </c>
      <c r="F1216" s="322">
        <v>0</v>
      </c>
      <c r="G1216" s="241">
        <f t="shared" si="509"/>
        <v>500000</v>
      </c>
      <c r="H1216" s="322">
        <v>0</v>
      </c>
      <c r="I1216" s="240">
        <f>'Tech-Roads'!I128</f>
        <v>0</v>
      </c>
      <c r="J1216" s="109">
        <f t="shared" si="510"/>
        <v>500000</v>
      </c>
      <c r="K1216" s="229"/>
      <c r="L1216" s="109"/>
    </row>
    <row r="1217" spans="1:12" x14ac:dyDescent="0.2">
      <c r="A1217" s="5"/>
      <c r="B1217" s="7"/>
      <c r="C1217" s="29"/>
      <c r="D1217" s="11"/>
      <c r="E1217" s="9"/>
      <c r="F1217" s="11"/>
      <c r="G1217" s="9"/>
      <c r="H1217" s="11"/>
      <c r="I1217" s="240"/>
      <c r="J1217" s="162"/>
      <c r="K1217" s="169"/>
      <c r="L1217" s="162"/>
    </row>
    <row r="1218" spans="1:12" s="3" customFormat="1" ht="15" x14ac:dyDescent="0.25">
      <c r="A1218" s="18"/>
      <c r="B1218" s="19" t="s">
        <v>471</v>
      </c>
      <c r="C1218" s="28">
        <f>SUM(C1208:C1217)</f>
        <v>14500000</v>
      </c>
      <c r="D1218" s="36">
        <f t="shared" ref="D1218:G1218" si="511">SUM(D1208:D1217)</f>
        <v>0</v>
      </c>
      <c r="E1218" s="28">
        <f t="shared" si="511"/>
        <v>0</v>
      </c>
      <c r="F1218" s="36">
        <f t="shared" si="511"/>
        <v>3276015.55</v>
      </c>
      <c r="G1218" s="28">
        <f t="shared" si="511"/>
        <v>11223984.449999999</v>
      </c>
      <c r="H1218" s="21">
        <v>22.59</v>
      </c>
      <c r="I1218" s="243">
        <f t="shared" ref="I1218" si="512">SUM(I1208:I1217)</f>
        <v>1680716</v>
      </c>
      <c r="J1218" s="172">
        <f t="shared" ref="J1218" si="513">SUM(J1208:J1217)</f>
        <v>16180716</v>
      </c>
      <c r="K1218" s="236">
        <f t="shared" ref="K1218" si="514">SUM(K1208:K1217)</f>
        <v>15900000</v>
      </c>
      <c r="L1218" s="172">
        <f t="shared" ref="L1218" si="515">SUM(L1208:L1217)</f>
        <v>5700000</v>
      </c>
    </row>
    <row r="1219" spans="1:12" x14ac:dyDescent="0.2">
      <c r="A1219" s="5"/>
      <c r="B1219" s="7"/>
      <c r="C1219" s="29"/>
      <c r="D1219" s="11"/>
      <c r="E1219" s="9"/>
      <c r="F1219" s="11"/>
      <c r="G1219" s="9"/>
      <c r="H1219" s="11"/>
      <c r="I1219" s="240"/>
      <c r="J1219" s="162"/>
      <c r="K1219" s="169"/>
      <c r="L1219" s="162"/>
    </row>
    <row r="1220" spans="1:12" s="3" customFormat="1" ht="15" x14ac:dyDescent="0.25">
      <c r="A1220" s="18"/>
      <c r="B1220" s="19" t="s">
        <v>472</v>
      </c>
      <c r="C1220" s="28">
        <f>C1218</f>
        <v>14500000</v>
      </c>
      <c r="D1220" s="36">
        <f t="shared" ref="D1220:L1220" si="516">D1218</f>
        <v>0</v>
      </c>
      <c r="E1220" s="28">
        <f t="shared" si="516"/>
        <v>0</v>
      </c>
      <c r="F1220" s="36">
        <f t="shared" si="516"/>
        <v>3276015.55</v>
      </c>
      <c r="G1220" s="28">
        <f t="shared" si="516"/>
        <v>11223984.449999999</v>
      </c>
      <c r="H1220" s="21">
        <v>22.59</v>
      </c>
      <c r="I1220" s="243">
        <f t="shared" si="516"/>
        <v>1680716</v>
      </c>
      <c r="J1220" s="172">
        <f t="shared" si="516"/>
        <v>16180716</v>
      </c>
      <c r="K1220" s="236">
        <f t="shared" si="516"/>
        <v>15900000</v>
      </c>
      <c r="L1220" s="172">
        <f t="shared" si="516"/>
        <v>5700000</v>
      </c>
    </row>
    <row r="1221" spans="1:12" s="3" customFormat="1" ht="15" x14ac:dyDescent="0.25">
      <c r="A1221" s="18"/>
      <c r="B1221" s="19"/>
      <c r="C1221" s="28"/>
      <c r="D1221" s="21"/>
      <c r="E1221" s="20"/>
      <c r="F1221" s="21"/>
      <c r="G1221" s="20"/>
      <c r="H1221" s="21"/>
      <c r="I1221" s="238"/>
      <c r="J1221" s="168"/>
      <c r="K1221" s="178"/>
      <c r="L1221" s="168"/>
    </row>
    <row r="1222" spans="1:12" s="3" customFormat="1" ht="15" x14ac:dyDescent="0.25">
      <c r="A1222" s="18"/>
      <c r="B1222" s="19" t="s">
        <v>473</v>
      </c>
      <c r="C1222" s="28"/>
      <c r="D1222" s="21"/>
      <c r="E1222" s="20"/>
      <c r="F1222" s="21"/>
      <c r="G1222" s="20"/>
      <c r="H1222" s="21"/>
      <c r="I1222" s="238"/>
      <c r="J1222" s="168"/>
      <c r="K1222" s="178"/>
      <c r="L1222" s="168"/>
    </row>
    <row r="1223" spans="1:12" s="3" customFormat="1" ht="15" x14ac:dyDescent="0.25">
      <c r="A1223" s="18"/>
      <c r="B1223" s="19"/>
      <c r="C1223" s="28"/>
      <c r="D1223" s="21"/>
      <c r="E1223" s="20"/>
      <c r="F1223" s="21"/>
      <c r="G1223" s="20"/>
      <c r="H1223" s="21"/>
      <c r="I1223" s="238"/>
      <c r="J1223" s="168"/>
      <c r="K1223" s="178"/>
      <c r="L1223" s="168"/>
    </row>
    <row r="1224" spans="1:12" x14ac:dyDescent="0.2">
      <c r="A1224" s="5" t="s">
        <v>916</v>
      </c>
      <c r="B1224" s="7" t="s">
        <v>475</v>
      </c>
      <c r="C1224" s="29">
        <v>0</v>
      </c>
      <c r="D1224" s="11">
        <v>0</v>
      </c>
      <c r="E1224" s="9">
        <v>0</v>
      </c>
      <c r="F1224" s="11">
        <v>0</v>
      </c>
      <c r="G1224" s="9">
        <v>0</v>
      </c>
      <c r="H1224" s="11">
        <v>0</v>
      </c>
      <c r="I1224" s="240">
        <f>'Tech-Roads'!I136</f>
        <v>73847</v>
      </c>
      <c r="J1224" s="109">
        <f>C1224+I1224</f>
        <v>73847</v>
      </c>
      <c r="K1224" s="229">
        <f>'Tech-Roads'!K136</f>
        <v>0</v>
      </c>
      <c r="L1224" s="109">
        <f>'Tech-Roads'!L136</f>
        <v>0</v>
      </c>
    </row>
    <row r="1225" spans="1:12" x14ac:dyDescent="0.2">
      <c r="A1225" s="5" t="s">
        <v>917</v>
      </c>
      <c r="B1225" s="7" t="s">
        <v>477</v>
      </c>
      <c r="C1225" s="29">
        <v>0</v>
      </c>
      <c r="D1225" s="11">
        <v>0</v>
      </c>
      <c r="E1225" s="9">
        <v>0</v>
      </c>
      <c r="F1225" s="11">
        <v>0</v>
      </c>
      <c r="G1225" s="9">
        <v>0</v>
      </c>
      <c r="H1225" s="11">
        <v>0</v>
      </c>
      <c r="I1225" s="240">
        <f>'Tech-Roads'!I137</f>
        <v>0</v>
      </c>
      <c r="J1225" s="109">
        <f t="shared" ref="J1225:J1230" si="517">C1225+I1225</f>
        <v>0</v>
      </c>
      <c r="K1225" s="229">
        <f>'Tech-Roads'!K137</f>
        <v>0</v>
      </c>
      <c r="L1225" s="109">
        <f>'Tech-Roads'!L137</f>
        <v>0</v>
      </c>
    </row>
    <row r="1226" spans="1:12" x14ac:dyDescent="0.2">
      <c r="A1226" s="5" t="s">
        <v>918</v>
      </c>
      <c r="B1226" s="7" t="s">
        <v>919</v>
      </c>
      <c r="C1226" s="29">
        <v>0</v>
      </c>
      <c r="D1226" s="11">
        <v>0</v>
      </c>
      <c r="E1226" s="9">
        <v>0</v>
      </c>
      <c r="F1226" s="11">
        <v>0</v>
      </c>
      <c r="G1226" s="9">
        <v>0</v>
      </c>
      <c r="H1226" s="11">
        <v>0</v>
      </c>
      <c r="I1226" s="240">
        <f>'Tech-Roads'!I138</f>
        <v>0</v>
      </c>
      <c r="J1226" s="109">
        <f t="shared" si="517"/>
        <v>0</v>
      </c>
      <c r="K1226" s="229">
        <f>'Tech-Roads'!K138</f>
        <v>0</v>
      </c>
      <c r="L1226" s="109">
        <f>'Tech-Roads'!L138</f>
        <v>0</v>
      </c>
    </row>
    <row r="1227" spans="1:12" s="323" customFormat="1" x14ac:dyDescent="0.2">
      <c r="A1227" s="319" t="s">
        <v>920</v>
      </c>
      <c r="B1227" s="320" t="s">
        <v>483</v>
      </c>
      <c r="C1227" s="321">
        <v>14221600</v>
      </c>
      <c r="D1227" s="322">
        <v>0</v>
      </c>
      <c r="E1227" s="241">
        <v>0</v>
      </c>
      <c r="F1227" s="322">
        <v>7154963.7400000002</v>
      </c>
      <c r="G1227" s="241">
        <v>7066636.2599999998</v>
      </c>
      <c r="H1227" s="322">
        <v>50.31</v>
      </c>
      <c r="I1227" s="240">
        <f>'Tech-Roads'!I139</f>
        <v>320856.96000000002</v>
      </c>
      <c r="J1227" s="109">
        <f t="shared" si="517"/>
        <v>14542456.960000001</v>
      </c>
      <c r="K1227" s="229">
        <f>'Tech-Roads'!K139</f>
        <v>0</v>
      </c>
      <c r="L1227" s="109">
        <f>'Tech-Roads'!L139</f>
        <v>12000000</v>
      </c>
    </row>
    <row r="1228" spans="1:12" x14ac:dyDescent="0.2">
      <c r="A1228" s="5" t="s">
        <v>921</v>
      </c>
      <c r="B1228" s="7" t="s">
        <v>485</v>
      </c>
      <c r="C1228" s="29">
        <v>0</v>
      </c>
      <c r="D1228" s="11">
        <v>0</v>
      </c>
      <c r="E1228" s="9">
        <v>0</v>
      </c>
      <c r="F1228" s="11">
        <v>0</v>
      </c>
      <c r="G1228" s="9">
        <v>0</v>
      </c>
      <c r="H1228" s="11">
        <v>0</v>
      </c>
      <c r="I1228" s="240">
        <f>'Tech-Roads'!I140</f>
        <v>0</v>
      </c>
      <c r="J1228" s="109">
        <f t="shared" si="517"/>
        <v>0</v>
      </c>
      <c r="K1228" s="229">
        <f>'Tech-Roads'!K140</f>
        <v>10877600</v>
      </c>
      <c r="L1228" s="109">
        <f>'Tech-Roads'!L140</f>
        <v>0</v>
      </c>
    </row>
    <row r="1229" spans="1:12" x14ac:dyDescent="0.2">
      <c r="A1229" s="5" t="s">
        <v>922</v>
      </c>
      <c r="B1229" s="7" t="s">
        <v>487</v>
      </c>
      <c r="C1229" s="29">
        <v>9792000</v>
      </c>
      <c r="D1229" s="11">
        <v>1150695.8999999999</v>
      </c>
      <c r="E1229" s="9">
        <v>0</v>
      </c>
      <c r="F1229" s="11">
        <v>1604033.16</v>
      </c>
      <c r="G1229" s="9">
        <v>8187966.8399999999</v>
      </c>
      <c r="H1229" s="11">
        <v>16.38</v>
      </c>
      <c r="I1229" s="240">
        <f>'Tech-Roads'!I141</f>
        <v>0</v>
      </c>
      <c r="J1229" s="109">
        <f t="shared" si="517"/>
        <v>9792000</v>
      </c>
      <c r="K1229" s="229">
        <f>'Tech-Roads'!K141</f>
        <v>0</v>
      </c>
      <c r="L1229" s="109">
        <f>'Tech-Roads'!L141</f>
        <v>14172000</v>
      </c>
    </row>
    <row r="1230" spans="1:12" x14ac:dyDescent="0.2">
      <c r="A1230" s="5" t="s">
        <v>923</v>
      </c>
      <c r="B1230" s="7" t="s">
        <v>493</v>
      </c>
      <c r="C1230" s="29">
        <v>0</v>
      </c>
      <c r="D1230" s="11">
        <v>0</v>
      </c>
      <c r="E1230" s="9">
        <v>0</v>
      </c>
      <c r="F1230" s="11">
        <v>0</v>
      </c>
      <c r="G1230" s="9">
        <v>0</v>
      </c>
      <c r="H1230" s="11">
        <v>0</v>
      </c>
      <c r="I1230" s="240">
        <f>'Tech-Roads'!I142</f>
        <v>0</v>
      </c>
      <c r="J1230" s="109">
        <f t="shared" si="517"/>
        <v>0</v>
      </c>
      <c r="K1230" s="229">
        <f>'Tech-Roads'!K142</f>
        <v>14000000</v>
      </c>
      <c r="L1230" s="109">
        <f>'Tech-Roads'!L142</f>
        <v>0</v>
      </c>
    </row>
    <row r="1231" spans="1:12" x14ac:dyDescent="0.2">
      <c r="A1231" s="5"/>
      <c r="B1231" s="7"/>
      <c r="C1231" s="29"/>
      <c r="D1231" s="11"/>
      <c r="E1231" s="9"/>
      <c r="F1231" s="11"/>
      <c r="G1231" s="9"/>
      <c r="H1231" s="11"/>
      <c r="I1231" s="240"/>
      <c r="J1231" s="162"/>
      <c r="K1231" s="169"/>
      <c r="L1231" s="162"/>
    </row>
    <row r="1232" spans="1:12" s="3" customFormat="1" ht="15" x14ac:dyDescent="0.25">
      <c r="A1232" s="18"/>
      <c r="B1232" s="19" t="s">
        <v>494</v>
      </c>
      <c r="C1232" s="28">
        <f>SUM(C1224:C1231)</f>
        <v>24013600</v>
      </c>
      <c r="D1232" s="36">
        <f t="shared" ref="D1232:G1232" si="518">SUM(D1224:D1231)</f>
        <v>1150695.8999999999</v>
      </c>
      <c r="E1232" s="28">
        <f t="shared" si="518"/>
        <v>0</v>
      </c>
      <c r="F1232" s="36">
        <f t="shared" si="518"/>
        <v>8758996.9000000004</v>
      </c>
      <c r="G1232" s="28">
        <f t="shared" si="518"/>
        <v>15254603.1</v>
      </c>
      <c r="H1232" s="21">
        <v>36.47</v>
      </c>
      <c r="I1232" s="243">
        <f t="shared" ref="I1232:L1232" si="519">SUM(I1224:I1231)</f>
        <v>394703.96</v>
      </c>
      <c r="J1232" s="172">
        <f t="shared" si="519"/>
        <v>24408303.960000001</v>
      </c>
      <c r="K1232" s="236">
        <f t="shared" si="519"/>
        <v>24877600</v>
      </c>
      <c r="L1232" s="172">
        <f t="shared" si="519"/>
        <v>26172000</v>
      </c>
    </row>
    <row r="1233" spans="1:12" x14ac:dyDescent="0.2">
      <c r="A1233" s="5"/>
      <c r="B1233" s="7"/>
      <c r="C1233" s="29"/>
      <c r="D1233" s="11"/>
      <c r="E1233" s="9"/>
      <c r="F1233" s="11"/>
      <c r="G1233" s="9"/>
      <c r="H1233" s="11"/>
      <c r="I1233" s="240"/>
      <c r="J1233" s="162"/>
      <c r="K1233" s="169"/>
      <c r="L1233" s="162"/>
    </row>
    <row r="1234" spans="1:12" s="3" customFormat="1" ht="15" x14ac:dyDescent="0.25">
      <c r="A1234" s="18"/>
      <c r="B1234" s="19" t="s">
        <v>495</v>
      </c>
      <c r="C1234" s="28">
        <f>C1232</f>
        <v>24013600</v>
      </c>
      <c r="D1234" s="36">
        <f t="shared" ref="D1234:L1234" si="520">D1232</f>
        <v>1150695.8999999999</v>
      </c>
      <c r="E1234" s="28">
        <f t="shared" si="520"/>
        <v>0</v>
      </c>
      <c r="F1234" s="36">
        <f t="shared" si="520"/>
        <v>8758996.9000000004</v>
      </c>
      <c r="G1234" s="28">
        <f t="shared" si="520"/>
        <v>15254603.1</v>
      </c>
      <c r="H1234" s="21">
        <v>36.47</v>
      </c>
      <c r="I1234" s="243">
        <f t="shared" si="520"/>
        <v>394703.96</v>
      </c>
      <c r="J1234" s="172">
        <f t="shared" si="520"/>
        <v>24408303.960000001</v>
      </c>
      <c r="K1234" s="236">
        <f t="shared" si="520"/>
        <v>24877600</v>
      </c>
      <c r="L1234" s="172">
        <f t="shared" si="520"/>
        <v>26172000</v>
      </c>
    </row>
    <row r="1235" spans="1:12" s="3" customFormat="1" ht="15" x14ac:dyDescent="0.25">
      <c r="A1235" s="18"/>
      <c r="B1235" s="19"/>
      <c r="C1235" s="28"/>
      <c r="D1235" s="21"/>
      <c r="E1235" s="20"/>
      <c r="F1235" s="21"/>
      <c r="G1235" s="20"/>
      <c r="H1235" s="21"/>
      <c r="I1235" s="238"/>
      <c r="J1235" s="168"/>
      <c r="K1235" s="178"/>
      <c r="L1235" s="168"/>
    </row>
    <row r="1236" spans="1:12" x14ac:dyDescent="0.2">
      <c r="A1236" s="5"/>
      <c r="B1236" s="7"/>
      <c r="C1236" s="29"/>
      <c r="D1236" s="11"/>
      <c r="E1236" s="9"/>
      <c r="F1236" s="11"/>
      <c r="G1236" s="9"/>
      <c r="H1236" s="11"/>
      <c r="I1236" s="240"/>
      <c r="J1236" s="162"/>
      <c r="K1236" s="169"/>
      <c r="L1236" s="162"/>
    </row>
    <row r="1237" spans="1:12" s="3" customFormat="1" ht="15" x14ac:dyDescent="0.25">
      <c r="A1237" s="18"/>
      <c r="B1237" s="19" t="s">
        <v>1010</v>
      </c>
      <c r="C1237" s="28"/>
      <c r="D1237" s="21"/>
      <c r="E1237" s="20"/>
      <c r="F1237" s="21"/>
      <c r="G1237" s="20"/>
      <c r="H1237" s="21"/>
      <c r="I1237" s="238"/>
      <c r="J1237" s="168"/>
      <c r="K1237" s="178"/>
      <c r="L1237" s="168"/>
    </row>
    <row r="1238" spans="1:12" s="3" customFormat="1" ht="15" x14ac:dyDescent="0.25">
      <c r="A1238" s="18"/>
      <c r="B1238" s="19"/>
      <c r="C1238" s="28"/>
      <c r="D1238" s="21"/>
      <c r="E1238" s="20"/>
      <c r="F1238" s="21"/>
      <c r="G1238" s="20"/>
      <c r="H1238" s="21"/>
      <c r="I1238" s="238"/>
      <c r="J1238" s="168"/>
      <c r="K1238" s="178"/>
      <c r="L1238" s="168"/>
    </row>
    <row r="1239" spans="1:12" s="3" customFormat="1" ht="15" x14ac:dyDescent="0.25">
      <c r="A1239" s="18"/>
      <c r="B1239" s="19" t="s">
        <v>9</v>
      </c>
      <c r="C1239" s="28"/>
      <c r="D1239" s="21"/>
      <c r="E1239" s="20"/>
      <c r="F1239" s="21"/>
      <c r="G1239" s="20"/>
      <c r="H1239" s="21"/>
      <c r="I1239" s="238"/>
      <c r="J1239" s="168"/>
      <c r="K1239" s="178"/>
      <c r="L1239" s="168"/>
    </row>
    <row r="1240" spans="1:12" s="3" customFormat="1" ht="15" x14ac:dyDescent="0.25">
      <c r="A1240" s="18"/>
      <c r="B1240" s="19"/>
      <c r="C1240" s="28"/>
      <c r="D1240" s="21"/>
      <c r="E1240" s="20"/>
      <c r="F1240" s="21"/>
      <c r="G1240" s="20"/>
      <c r="H1240" s="21"/>
      <c r="I1240" s="238"/>
      <c r="J1240" s="168"/>
      <c r="K1240" s="178"/>
      <c r="L1240" s="168"/>
    </row>
    <row r="1241" spans="1:12" s="3" customFormat="1" ht="15" x14ac:dyDescent="0.25">
      <c r="A1241" s="18"/>
      <c r="B1241" s="19" t="s">
        <v>10</v>
      </c>
      <c r="C1241" s="28"/>
      <c r="D1241" s="21"/>
      <c r="E1241" s="20"/>
      <c r="F1241" s="21"/>
      <c r="G1241" s="20"/>
      <c r="H1241" s="21"/>
      <c r="I1241" s="238"/>
      <c r="J1241" s="168"/>
      <c r="K1241" s="178"/>
      <c r="L1241" s="168"/>
    </row>
    <row r="1242" spans="1:12" s="3" customFormat="1" ht="15" x14ac:dyDescent="0.25">
      <c r="A1242" s="18"/>
      <c r="B1242" s="19"/>
      <c r="C1242" s="28"/>
      <c r="D1242" s="21"/>
      <c r="E1242" s="20"/>
      <c r="F1242" s="21"/>
      <c r="G1242" s="20"/>
      <c r="H1242" s="21"/>
      <c r="I1242" s="238"/>
      <c r="J1242" s="168"/>
      <c r="K1242" s="178"/>
      <c r="L1242" s="168"/>
    </row>
    <row r="1243" spans="1:12" s="3" customFormat="1" ht="15" x14ac:dyDescent="0.25">
      <c r="A1243" s="18"/>
      <c r="B1243" s="19" t="s">
        <v>11</v>
      </c>
      <c r="C1243" s="28"/>
      <c r="D1243" s="21"/>
      <c r="E1243" s="20"/>
      <c r="F1243" s="21"/>
      <c r="G1243" s="20"/>
      <c r="H1243" s="21"/>
      <c r="I1243" s="238"/>
      <c r="J1243" s="168"/>
      <c r="K1243" s="178"/>
      <c r="L1243" s="168"/>
    </row>
    <row r="1244" spans="1:12" s="3" customFormat="1" ht="15" x14ac:dyDescent="0.25">
      <c r="A1244" s="18"/>
      <c r="B1244" s="19"/>
      <c r="C1244" s="28"/>
      <c r="D1244" s="21"/>
      <c r="E1244" s="20"/>
      <c r="F1244" s="21"/>
      <c r="G1244" s="20"/>
      <c r="H1244" s="21"/>
      <c r="I1244" s="238"/>
      <c r="J1244" s="168"/>
      <c r="K1244" s="178"/>
      <c r="L1244" s="168"/>
    </row>
    <row r="1245" spans="1:12" x14ac:dyDescent="0.2">
      <c r="A1245" s="5" t="s">
        <v>924</v>
      </c>
      <c r="B1245" s="7" t="s">
        <v>13</v>
      </c>
      <c r="C1245" s="29">
        <v>108670</v>
      </c>
      <c r="D1245" s="11">
        <v>0</v>
      </c>
      <c r="E1245" s="9">
        <v>0</v>
      </c>
      <c r="F1245" s="11">
        <v>45395.22</v>
      </c>
      <c r="G1245" s="9">
        <f t="shared" ref="G1245:G1260" si="521">C1245-E1245-F1245</f>
        <v>63274.78</v>
      </c>
      <c r="H1245" s="11">
        <v>41.77</v>
      </c>
      <c r="I1245" s="240">
        <f>'Tech-Electricity'!I10</f>
        <v>0</v>
      </c>
      <c r="J1245" s="109">
        <f>'Tech-Electricity'!J10</f>
        <v>108670</v>
      </c>
      <c r="K1245" s="229">
        <f>'Tech-Electricity'!K10</f>
        <v>115190.2</v>
      </c>
      <c r="L1245" s="109">
        <f>'Tech-Electricity'!L10</f>
        <v>122101.61199999999</v>
      </c>
    </row>
    <row r="1246" spans="1:12" x14ac:dyDescent="0.2">
      <c r="A1246" s="5" t="s">
        <v>925</v>
      </c>
      <c r="B1246" s="7" t="s">
        <v>15</v>
      </c>
      <c r="C1246" s="29">
        <v>6264</v>
      </c>
      <c r="D1246" s="11">
        <v>0</v>
      </c>
      <c r="E1246" s="9">
        <v>0</v>
      </c>
      <c r="F1246" s="11">
        <v>0</v>
      </c>
      <c r="G1246" s="9">
        <f t="shared" si="521"/>
        <v>6264</v>
      </c>
      <c r="H1246" s="11">
        <v>0</v>
      </c>
      <c r="I1246" s="240">
        <f>'Tech-Electricity'!I11</f>
        <v>-6264</v>
      </c>
      <c r="J1246" s="162">
        <f t="shared" ref="J1246:J1260" si="522">C1246+I1246</f>
        <v>0</v>
      </c>
      <c r="K1246" s="229">
        <f>'Tech-Electricity'!K11</f>
        <v>0</v>
      </c>
      <c r="L1246" s="109">
        <f>'Tech-Electricity'!L11</f>
        <v>0</v>
      </c>
    </row>
    <row r="1247" spans="1:12" x14ac:dyDescent="0.2">
      <c r="A1247" s="5" t="s">
        <v>926</v>
      </c>
      <c r="B1247" s="7" t="s">
        <v>17</v>
      </c>
      <c r="C1247" s="29">
        <v>15692</v>
      </c>
      <c r="D1247" s="11">
        <v>1307.7</v>
      </c>
      <c r="E1247" s="9">
        <v>0</v>
      </c>
      <c r="F1247" s="11">
        <v>7846.2</v>
      </c>
      <c r="G1247" s="9">
        <f t="shared" si="521"/>
        <v>7845.8</v>
      </c>
      <c r="H1247" s="11">
        <v>50</v>
      </c>
      <c r="I1247" s="240">
        <f>'Tech-Electricity'!I12</f>
        <v>0</v>
      </c>
      <c r="J1247" s="162">
        <f t="shared" si="522"/>
        <v>15692</v>
      </c>
      <c r="K1247" s="229">
        <f>'Tech-Electricity'!K12</f>
        <v>16633.52</v>
      </c>
      <c r="L1247" s="109">
        <f>'Tech-Electricity'!L12</f>
        <v>17631.531200000001</v>
      </c>
    </row>
    <row r="1248" spans="1:12" x14ac:dyDescent="0.2">
      <c r="A1248" s="5" t="s">
        <v>927</v>
      </c>
      <c r="B1248" s="7" t="s">
        <v>19</v>
      </c>
      <c r="C1248" s="29">
        <v>40000</v>
      </c>
      <c r="D1248" s="11">
        <v>3714.17</v>
      </c>
      <c r="E1248" s="9">
        <v>0</v>
      </c>
      <c r="F1248" s="11">
        <v>26620.53</v>
      </c>
      <c r="G1248" s="9">
        <f t="shared" si="521"/>
        <v>13379.470000000001</v>
      </c>
      <c r="H1248" s="11">
        <v>66.55</v>
      </c>
      <c r="I1248" s="240">
        <f>'Tech-Electricity'!I13</f>
        <v>20000</v>
      </c>
      <c r="J1248" s="162">
        <f t="shared" si="522"/>
        <v>60000</v>
      </c>
      <c r="K1248" s="229">
        <f>'Tech-Electricity'!K13</f>
        <v>63600</v>
      </c>
      <c r="L1248" s="109">
        <f>'Tech-Electricity'!L13</f>
        <v>67416</v>
      </c>
    </row>
    <row r="1249" spans="1:12" x14ac:dyDescent="0.2">
      <c r="A1249" s="5" t="s">
        <v>928</v>
      </c>
      <c r="B1249" s="7" t="s">
        <v>21</v>
      </c>
      <c r="C1249" s="29">
        <v>10000</v>
      </c>
      <c r="D1249" s="11">
        <v>434.95</v>
      </c>
      <c r="E1249" s="9">
        <v>0</v>
      </c>
      <c r="F1249" s="11">
        <v>434.95</v>
      </c>
      <c r="G1249" s="9">
        <f t="shared" si="521"/>
        <v>9565.0499999999993</v>
      </c>
      <c r="H1249" s="11">
        <v>4.34</v>
      </c>
      <c r="I1249" s="240">
        <f>'Tech-Electricity'!I14</f>
        <v>0</v>
      </c>
      <c r="J1249" s="162">
        <f t="shared" si="522"/>
        <v>10000</v>
      </c>
      <c r="K1249" s="229">
        <f>'Tech-Electricity'!K14</f>
        <v>10600</v>
      </c>
      <c r="L1249" s="109">
        <f>'Tech-Electricity'!L14</f>
        <v>11236</v>
      </c>
    </row>
    <row r="1250" spans="1:12" x14ac:dyDescent="0.2">
      <c r="A1250" s="5" t="s">
        <v>929</v>
      </c>
      <c r="B1250" s="7" t="s">
        <v>22</v>
      </c>
      <c r="C1250" s="29">
        <v>0</v>
      </c>
      <c r="D1250" s="11">
        <v>0</v>
      </c>
      <c r="E1250" s="9">
        <v>0</v>
      </c>
      <c r="F1250" s="11">
        <v>0</v>
      </c>
      <c r="G1250" s="9">
        <f t="shared" si="521"/>
        <v>0</v>
      </c>
      <c r="H1250" s="11">
        <v>0</v>
      </c>
      <c r="I1250" s="240">
        <f>'Tech-Electricity'!I15</f>
        <v>0</v>
      </c>
      <c r="J1250" s="162">
        <f t="shared" si="522"/>
        <v>0</v>
      </c>
      <c r="K1250" s="229">
        <f>'Tech-Electricity'!K15</f>
        <v>0</v>
      </c>
      <c r="L1250" s="109">
        <f>'Tech-Electricity'!L15</f>
        <v>0</v>
      </c>
    </row>
    <row r="1251" spans="1:12" x14ac:dyDescent="0.2">
      <c r="A1251" s="5" t="s">
        <v>930</v>
      </c>
      <c r="B1251" s="7" t="s">
        <v>24</v>
      </c>
      <c r="C1251" s="29">
        <v>65112</v>
      </c>
      <c r="D1251" s="11">
        <v>4345.5</v>
      </c>
      <c r="E1251" s="9">
        <v>0</v>
      </c>
      <c r="F1251" s="11">
        <v>26073</v>
      </c>
      <c r="G1251" s="9">
        <f t="shared" si="521"/>
        <v>39039</v>
      </c>
      <c r="H1251" s="11">
        <v>40.04</v>
      </c>
      <c r="I1251" s="240">
        <f>'Tech-Electricity'!I16</f>
        <v>0</v>
      </c>
      <c r="J1251" s="162">
        <f t="shared" si="522"/>
        <v>65112</v>
      </c>
      <c r="K1251" s="229">
        <f>'Tech-Electricity'!K16</f>
        <v>69018.720000000001</v>
      </c>
      <c r="L1251" s="109">
        <f>'Tech-Electricity'!L16</f>
        <v>73159.843200000003</v>
      </c>
    </row>
    <row r="1252" spans="1:12" x14ac:dyDescent="0.2">
      <c r="A1252" s="5" t="s">
        <v>931</v>
      </c>
      <c r="B1252" s="7" t="s">
        <v>26</v>
      </c>
      <c r="C1252" s="29">
        <v>0</v>
      </c>
      <c r="D1252" s="11">
        <v>0</v>
      </c>
      <c r="E1252" s="9">
        <v>0</v>
      </c>
      <c r="F1252" s="11">
        <v>0</v>
      </c>
      <c r="G1252" s="9">
        <f t="shared" si="521"/>
        <v>0</v>
      </c>
      <c r="H1252" s="11">
        <v>0</v>
      </c>
      <c r="I1252" s="240">
        <f>'Tech-Electricity'!I17</f>
        <v>0</v>
      </c>
      <c r="J1252" s="162">
        <f t="shared" si="522"/>
        <v>0</v>
      </c>
      <c r="K1252" s="229">
        <f>'Tech-Electricity'!K17</f>
        <v>0</v>
      </c>
      <c r="L1252" s="109">
        <f>'Tech-Electricity'!L17</f>
        <v>0</v>
      </c>
    </row>
    <row r="1253" spans="1:12" x14ac:dyDescent="0.2">
      <c r="A1253" s="5" t="s">
        <v>932</v>
      </c>
      <c r="B1253" s="7" t="s">
        <v>28</v>
      </c>
      <c r="C1253" s="29">
        <v>8181</v>
      </c>
      <c r="D1253" s="11">
        <v>0</v>
      </c>
      <c r="E1253" s="9">
        <v>0</v>
      </c>
      <c r="F1253" s="11">
        <v>0</v>
      </c>
      <c r="G1253" s="9">
        <f t="shared" si="521"/>
        <v>8181</v>
      </c>
      <c r="H1253" s="11">
        <v>0</v>
      </c>
      <c r="I1253" s="240">
        <f>'Tech-Electricity'!I18</f>
        <v>-8181</v>
      </c>
      <c r="J1253" s="162">
        <f t="shared" si="522"/>
        <v>0</v>
      </c>
      <c r="K1253" s="229">
        <f>'Tech-Electricity'!K18</f>
        <v>0</v>
      </c>
      <c r="L1253" s="109">
        <f>'Tech-Electricity'!L18</f>
        <v>0</v>
      </c>
    </row>
    <row r="1254" spans="1:12" x14ac:dyDescent="0.2">
      <c r="A1254" s="5" t="s">
        <v>933</v>
      </c>
      <c r="B1254" s="7" t="s">
        <v>30</v>
      </c>
      <c r="C1254" s="29">
        <v>0</v>
      </c>
      <c r="D1254" s="11">
        <v>0</v>
      </c>
      <c r="E1254" s="9">
        <v>0</v>
      </c>
      <c r="F1254" s="11">
        <v>0</v>
      </c>
      <c r="G1254" s="9">
        <f t="shared" si="521"/>
        <v>0</v>
      </c>
      <c r="H1254" s="11">
        <v>0</v>
      </c>
      <c r="I1254" s="240">
        <f>'Tech-Electricity'!I19</f>
        <v>0</v>
      </c>
      <c r="J1254" s="162">
        <f t="shared" si="522"/>
        <v>0</v>
      </c>
      <c r="K1254" s="229">
        <f>'Tech-Electricity'!K19</f>
        <v>0</v>
      </c>
      <c r="L1254" s="109">
        <f>'Tech-Electricity'!L19</f>
        <v>0</v>
      </c>
    </row>
    <row r="1255" spans="1:12" x14ac:dyDescent="0.2">
      <c r="A1255" s="5" t="s">
        <v>934</v>
      </c>
      <c r="B1255" s="7" t="s">
        <v>32</v>
      </c>
      <c r="C1255" s="29">
        <v>1304038</v>
      </c>
      <c r="D1255" s="11">
        <v>93501.56</v>
      </c>
      <c r="E1255" s="9">
        <v>0</v>
      </c>
      <c r="F1255" s="11">
        <v>556642.64</v>
      </c>
      <c r="G1255" s="9">
        <f t="shared" si="521"/>
        <v>747395.36</v>
      </c>
      <c r="H1255" s="11">
        <v>42.68</v>
      </c>
      <c r="I1255" s="240">
        <f>'Tech-Electricity'!I20</f>
        <v>0</v>
      </c>
      <c r="J1255" s="162">
        <f t="shared" si="522"/>
        <v>1304038</v>
      </c>
      <c r="K1255" s="229">
        <f>'Tech-Electricity'!K20</f>
        <v>1382280.28</v>
      </c>
      <c r="L1255" s="109">
        <f>'Tech-Electricity'!L20</f>
        <v>1465217.0967999999</v>
      </c>
    </row>
    <row r="1256" spans="1:12" x14ac:dyDescent="0.2">
      <c r="A1256" s="5" t="s">
        <v>935</v>
      </c>
      <c r="B1256" s="7" t="s">
        <v>34</v>
      </c>
      <c r="C1256" s="29">
        <v>170000</v>
      </c>
      <c r="D1256" s="11">
        <v>12521.76</v>
      </c>
      <c r="E1256" s="9">
        <v>0</v>
      </c>
      <c r="F1256" s="11">
        <v>81391.44</v>
      </c>
      <c r="G1256" s="9">
        <f t="shared" si="521"/>
        <v>88608.56</v>
      </c>
      <c r="H1256" s="11">
        <v>47.87</v>
      </c>
      <c r="I1256" s="240">
        <f>'Tech-Electricity'!I21</f>
        <v>12000</v>
      </c>
      <c r="J1256" s="162">
        <f t="shared" si="522"/>
        <v>182000</v>
      </c>
      <c r="K1256" s="229">
        <f>'Tech-Electricity'!K21</f>
        <v>192920</v>
      </c>
      <c r="L1256" s="109">
        <f>'Tech-Electricity'!L21</f>
        <v>204495.2</v>
      </c>
    </row>
    <row r="1257" spans="1:12" x14ac:dyDescent="0.2">
      <c r="A1257" s="5" t="s">
        <v>936</v>
      </c>
      <c r="B1257" s="7" t="s">
        <v>36</v>
      </c>
      <c r="C1257" s="29">
        <v>109422</v>
      </c>
      <c r="D1257" s="11">
        <v>9337.2999999999993</v>
      </c>
      <c r="E1257" s="9">
        <v>0</v>
      </c>
      <c r="F1257" s="11">
        <v>56023.8</v>
      </c>
      <c r="G1257" s="9">
        <f t="shared" si="521"/>
        <v>53398.2</v>
      </c>
      <c r="H1257" s="11">
        <v>51.19</v>
      </c>
      <c r="I1257" s="240">
        <f>'Tech-Electricity'!I22</f>
        <v>10000</v>
      </c>
      <c r="J1257" s="162">
        <f t="shared" si="522"/>
        <v>119422</v>
      </c>
      <c r="K1257" s="229">
        <f>'Tech-Electricity'!K22</f>
        <v>126587.32</v>
      </c>
      <c r="L1257" s="109">
        <f>'Tech-Electricity'!L22</f>
        <v>134182.55920000002</v>
      </c>
    </row>
    <row r="1258" spans="1:12" x14ac:dyDescent="0.2">
      <c r="A1258" s="5" t="s">
        <v>937</v>
      </c>
      <c r="B1258" s="7" t="s">
        <v>44</v>
      </c>
      <c r="C1258" s="29">
        <v>0</v>
      </c>
      <c r="D1258" s="11">
        <v>0</v>
      </c>
      <c r="E1258" s="9">
        <v>0</v>
      </c>
      <c r="F1258" s="11">
        <v>0</v>
      </c>
      <c r="G1258" s="9">
        <f t="shared" si="521"/>
        <v>0</v>
      </c>
      <c r="H1258" s="11">
        <v>0</v>
      </c>
      <c r="I1258" s="240">
        <f>'Tech-Electricity'!I23</f>
        <v>0</v>
      </c>
      <c r="J1258" s="162">
        <f t="shared" si="522"/>
        <v>0</v>
      </c>
      <c r="K1258" s="229">
        <f>'Tech-Electricity'!K23</f>
        <v>0</v>
      </c>
      <c r="L1258" s="109">
        <f>'Tech-Electricity'!L23</f>
        <v>0</v>
      </c>
    </row>
    <row r="1259" spans="1:12" x14ac:dyDescent="0.2">
      <c r="A1259" s="5" t="s">
        <v>938</v>
      </c>
      <c r="B1259" s="7" t="s">
        <v>46</v>
      </c>
      <c r="C1259" s="29">
        <v>0</v>
      </c>
      <c r="D1259" s="11">
        <v>0</v>
      </c>
      <c r="E1259" s="9">
        <v>0</v>
      </c>
      <c r="F1259" s="11">
        <v>0</v>
      </c>
      <c r="G1259" s="9">
        <f t="shared" si="521"/>
        <v>0</v>
      </c>
      <c r="H1259" s="11">
        <v>0</v>
      </c>
      <c r="I1259" s="240">
        <f>'Tech-Electricity'!I24</f>
        <v>0</v>
      </c>
      <c r="J1259" s="162">
        <f t="shared" si="522"/>
        <v>0</v>
      </c>
      <c r="K1259" s="229">
        <f>'Tech-Electricity'!K24</f>
        <v>0</v>
      </c>
      <c r="L1259" s="109">
        <f>'Tech-Electricity'!L24</f>
        <v>0</v>
      </c>
    </row>
    <row r="1260" spans="1:12" x14ac:dyDescent="0.2">
      <c r="A1260" s="5" t="s">
        <v>939</v>
      </c>
      <c r="B1260" s="7" t="s">
        <v>48</v>
      </c>
      <c r="C1260" s="29">
        <v>0</v>
      </c>
      <c r="D1260" s="11">
        <v>0</v>
      </c>
      <c r="E1260" s="9">
        <v>0</v>
      </c>
      <c r="F1260" s="11">
        <v>0</v>
      </c>
      <c r="G1260" s="9">
        <f t="shared" si="521"/>
        <v>0</v>
      </c>
      <c r="H1260" s="11">
        <v>0</v>
      </c>
      <c r="I1260" s="240">
        <f>'Tech-Electricity'!I25</f>
        <v>0</v>
      </c>
      <c r="J1260" s="162">
        <f t="shared" si="522"/>
        <v>0</v>
      </c>
      <c r="K1260" s="229">
        <f>'Tech-Electricity'!K25</f>
        <v>0</v>
      </c>
      <c r="L1260" s="109">
        <f>'Tech-Electricity'!L25</f>
        <v>0</v>
      </c>
    </row>
    <row r="1261" spans="1:12" x14ac:dyDescent="0.2">
      <c r="A1261" s="5"/>
      <c r="B1261" s="7"/>
      <c r="C1261" s="29"/>
      <c r="D1261" s="11"/>
      <c r="E1261" s="9"/>
      <c r="F1261" s="11"/>
      <c r="G1261" s="9"/>
      <c r="H1261" s="11"/>
      <c r="I1261" s="240"/>
      <c r="J1261" s="162"/>
      <c r="K1261" s="169"/>
      <c r="L1261" s="162"/>
    </row>
    <row r="1262" spans="1:12" s="3" customFormat="1" ht="15" x14ac:dyDescent="0.25">
      <c r="A1262" s="18"/>
      <c r="B1262" s="19" t="s">
        <v>49</v>
      </c>
      <c r="C1262" s="28">
        <f>SUM(C1245:C1261)</f>
        <v>1837379</v>
      </c>
      <c r="D1262" s="36">
        <f t="shared" ref="D1262:G1262" si="523">SUM(D1245:D1261)</f>
        <v>125162.94</v>
      </c>
      <c r="E1262" s="28">
        <f t="shared" si="523"/>
        <v>0</v>
      </c>
      <c r="F1262" s="36">
        <f t="shared" si="523"/>
        <v>800427.78</v>
      </c>
      <c r="G1262" s="28">
        <f t="shared" si="523"/>
        <v>1036951.22</v>
      </c>
      <c r="H1262" s="21">
        <v>43.56</v>
      </c>
      <c r="I1262" s="243">
        <f t="shared" ref="I1262:L1262" si="524">SUM(I1245:I1261)</f>
        <v>27555</v>
      </c>
      <c r="J1262" s="172">
        <f t="shared" si="524"/>
        <v>1864934</v>
      </c>
      <c r="K1262" s="236">
        <f t="shared" si="524"/>
        <v>1976830.04</v>
      </c>
      <c r="L1262" s="172">
        <f t="shared" si="524"/>
        <v>2095439.8424</v>
      </c>
    </row>
    <row r="1263" spans="1:12" s="3" customFormat="1" ht="15" x14ac:dyDescent="0.25">
      <c r="A1263" s="18"/>
      <c r="B1263" s="19"/>
      <c r="C1263" s="28"/>
      <c r="D1263" s="21"/>
      <c r="E1263" s="20"/>
      <c r="F1263" s="21"/>
      <c r="G1263" s="20"/>
      <c r="H1263" s="21"/>
      <c r="I1263" s="238"/>
      <c r="J1263" s="168"/>
      <c r="K1263" s="178"/>
      <c r="L1263" s="168"/>
    </row>
    <row r="1264" spans="1:12" s="3" customFormat="1" ht="15" x14ac:dyDescent="0.25">
      <c r="A1264" s="18"/>
      <c r="B1264" s="19" t="s">
        <v>50</v>
      </c>
      <c r="C1264" s="28"/>
      <c r="D1264" s="21"/>
      <c r="E1264" s="20"/>
      <c r="F1264" s="21"/>
      <c r="G1264" s="20"/>
      <c r="H1264" s="21"/>
      <c r="I1264" s="238"/>
      <c r="J1264" s="168"/>
      <c r="K1264" s="178"/>
      <c r="L1264" s="168"/>
    </row>
    <row r="1265" spans="1:12" x14ac:dyDescent="0.2">
      <c r="A1265" s="5"/>
      <c r="B1265" s="7"/>
      <c r="C1265" s="29"/>
      <c r="D1265" s="11"/>
      <c r="E1265" s="9"/>
      <c r="F1265" s="11"/>
      <c r="G1265" s="9"/>
      <c r="H1265" s="11"/>
      <c r="I1265" s="240"/>
      <c r="J1265" s="162"/>
      <c r="K1265" s="169"/>
      <c r="L1265" s="162"/>
    </row>
    <row r="1266" spans="1:12" x14ac:dyDescent="0.2">
      <c r="A1266" s="5" t="s">
        <v>940</v>
      </c>
      <c r="B1266" s="7" t="s">
        <v>53</v>
      </c>
      <c r="C1266" s="29">
        <v>381</v>
      </c>
      <c r="D1266" s="11">
        <v>29</v>
      </c>
      <c r="E1266" s="9">
        <v>0</v>
      </c>
      <c r="F1266" s="11">
        <v>174</v>
      </c>
      <c r="G1266" s="9">
        <f t="shared" ref="G1266:G1271" si="525">C1266-E1266-F1266</f>
        <v>207</v>
      </c>
      <c r="H1266" s="11">
        <v>45.66</v>
      </c>
      <c r="I1266" s="240">
        <f>'Tech-Electricity'!I31</f>
        <v>0</v>
      </c>
      <c r="J1266" s="109">
        <f>'Tech-Electricity'!J31</f>
        <v>381</v>
      </c>
      <c r="K1266" s="229">
        <f>'Tech-Electricity'!K31</f>
        <v>403.86</v>
      </c>
      <c r="L1266" s="109">
        <f>'Tech-Electricity'!L31</f>
        <v>428.09160000000003</v>
      </c>
    </row>
    <row r="1267" spans="1:12" x14ac:dyDescent="0.2">
      <c r="A1267" s="5" t="s">
        <v>941</v>
      </c>
      <c r="B1267" s="7" t="s">
        <v>55</v>
      </c>
      <c r="C1267" s="29">
        <v>8923</v>
      </c>
      <c r="D1267" s="11">
        <v>559.42999999999995</v>
      </c>
      <c r="E1267" s="9">
        <v>0</v>
      </c>
      <c r="F1267" s="11">
        <v>3334.84</v>
      </c>
      <c r="G1267" s="9">
        <f t="shared" si="525"/>
        <v>5588.16</v>
      </c>
      <c r="H1267" s="11">
        <v>37.369999999999997</v>
      </c>
      <c r="I1267" s="240">
        <f>'Tech-Electricity'!I32</f>
        <v>0</v>
      </c>
      <c r="J1267" s="162">
        <f t="shared" ref="J1267:J1271" si="526">C1267+I1267</f>
        <v>8923</v>
      </c>
      <c r="K1267" s="229">
        <f>'Tech-Electricity'!K32</f>
        <v>9458.3799999999992</v>
      </c>
      <c r="L1267" s="109">
        <f>'Tech-Electricity'!L32</f>
        <v>10025.882799999999</v>
      </c>
    </row>
    <row r="1268" spans="1:12" x14ac:dyDescent="0.2">
      <c r="A1268" s="5" t="s">
        <v>942</v>
      </c>
      <c r="B1268" s="7" t="s">
        <v>57</v>
      </c>
      <c r="C1268" s="29">
        <v>134382</v>
      </c>
      <c r="D1268" s="11">
        <v>5500.8</v>
      </c>
      <c r="E1268" s="9">
        <v>0</v>
      </c>
      <c r="F1268" s="11">
        <v>33004.800000000003</v>
      </c>
      <c r="G1268" s="9">
        <f t="shared" si="525"/>
        <v>101377.2</v>
      </c>
      <c r="H1268" s="11">
        <v>24.56</v>
      </c>
      <c r="I1268" s="240">
        <f>'Tech-Electricity'!I33</f>
        <v>0</v>
      </c>
      <c r="J1268" s="162">
        <f t="shared" si="526"/>
        <v>134382</v>
      </c>
      <c r="K1268" s="229">
        <f>'Tech-Electricity'!K33</f>
        <v>142444.92000000001</v>
      </c>
      <c r="L1268" s="109">
        <f>'Tech-Electricity'!L33</f>
        <v>150991.6152</v>
      </c>
    </row>
    <row r="1269" spans="1:12" x14ac:dyDescent="0.2">
      <c r="A1269" s="5" t="s">
        <v>943</v>
      </c>
      <c r="B1269" s="7" t="s">
        <v>59</v>
      </c>
      <c r="C1269" s="29">
        <v>286888</v>
      </c>
      <c r="D1269" s="11">
        <v>20570.34</v>
      </c>
      <c r="E1269" s="9">
        <v>0</v>
      </c>
      <c r="F1269" s="11">
        <v>122461.36</v>
      </c>
      <c r="G1269" s="9">
        <f t="shared" si="525"/>
        <v>164426.64000000001</v>
      </c>
      <c r="H1269" s="11">
        <v>42.68</v>
      </c>
      <c r="I1269" s="240">
        <f>'Tech-Electricity'!I34</f>
        <v>0</v>
      </c>
      <c r="J1269" s="162">
        <f t="shared" si="526"/>
        <v>286888</v>
      </c>
      <c r="K1269" s="229">
        <f>'Tech-Electricity'!K34</f>
        <v>304101.28000000003</v>
      </c>
      <c r="L1269" s="109">
        <f>'Tech-Electricity'!L34</f>
        <v>322347.35680000001</v>
      </c>
    </row>
    <row r="1270" spans="1:12" x14ac:dyDescent="0.2">
      <c r="A1270" s="5" t="s">
        <v>944</v>
      </c>
      <c r="B1270" s="7" t="s">
        <v>60</v>
      </c>
      <c r="C1270" s="29">
        <v>0</v>
      </c>
      <c r="D1270" s="11">
        <v>0</v>
      </c>
      <c r="E1270" s="9">
        <v>0</v>
      </c>
      <c r="F1270" s="11">
        <v>0</v>
      </c>
      <c r="G1270" s="9">
        <f t="shared" si="525"/>
        <v>0</v>
      </c>
      <c r="H1270" s="11">
        <v>0</v>
      </c>
      <c r="I1270" s="240">
        <f>'Tech-Electricity'!I35</f>
        <v>0</v>
      </c>
      <c r="J1270" s="162">
        <f t="shared" si="526"/>
        <v>0</v>
      </c>
      <c r="K1270" s="229">
        <f>'Tech-Electricity'!K35</f>
        <v>0</v>
      </c>
      <c r="L1270" s="109">
        <f>'Tech-Electricity'!L35</f>
        <v>0</v>
      </c>
    </row>
    <row r="1271" spans="1:12" x14ac:dyDescent="0.2">
      <c r="A1271" s="5" t="s">
        <v>945</v>
      </c>
      <c r="B1271" s="7" t="s">
        <v>62</v>
      </c>
      <c r="C1271" s="29">
        <v>26081</v>
      </c>
      <c r="D1271" s="11">
        <v>1211.31</v>
      </c>
      <c r="E1271" s="9">
        <v>0</v>
      </c>
      <c r="F1271" s="11">
        <v>7754.1</v>
      </c>
      <c r="G1271" s="9">
        <f t="shared" si="525"/>
        <v>18326.900000000001</v>
      </c>
      <c r="H1271" s="11">
        <v>29.73</v>
      </c>
      <c r="I1271" s="240">
        <f>'Tech-Electricity'!I36</f>
        <v>0</v>
      </c>
      <c r="J1271" s="162">
        <f t="shared" si="526"/>
        <v>26081</v>
      </c>
      <c r="K1271" s="229">
        <f>'Tech-Electricity'!K36</f>
        <v>27645.86</v>
      </c>
      <c r="L1271" s="109">
        <f>'Tech-Electricity'!L36</f>
        <v>29304.6116</v>
      </c>
    </row>
    <row r="1272" spans="1:12" x14ac:dyDescent="0.2">
      <c r="A1272" s="5"/>
      <c r="B1272" s="7"/>
      <c r="C1272" s="29"/>
      <c r="D1272" s="11"/>
      <c r="E1272" s="9"/>
      <c r="F1272" s="11"/>
      <c r="G1272" s="9"/>
      <c r="H1272" s="11"/>
      <c r="I1272" s="240"/>
      <c r="J1272" s="162"/>
      <c r="K1272" s="169"/>
      <c r="L1272" s="162"/>
    </row>
    <row r="1273" spans="1:12" s="3" customFormat="1" ht="15" x14ac:dyDescent="0.25">
      <c r="A1273" s="18"/>
      <c r="B1273" s="19" t="s">
        <v>63</v>
      </c>
      <c r="C1273" s="28">
        <f>SUM(C1266:C1272)</f>
        <v>456655</v>
      </c>
      <c r="D1273" s="36">
        <f t="shared" ref="D1273:G1273" si="527">SUM(D1266:D1272)</f>
        <v>27870.880000000001</v>
      </c>
      <c r="E1273" s="28">
        <f t="shared" si="527"/>
        <v>0</v>
      </c>
      <c r="F1273" s="36">
        <f t="shared" si="527"/>
        <v>166729.1</v>
      </c>
      <c r="G1273" s="28">
        <f t="shared" si="527"/>
        <v>289925.90000000002</v>
      </c>
      <c r="H1273" s="21">
        <v>36.51</v>
      </c>
      <c r="I1273" s="243">
        <f t="shared" ref="I1273" si="528">SUM(I1266:I1272)</f>
        <v>0</v>
      </c>
      <c r="J1273" s="172">
        <f t="shared" ref="J1273" si="529">SUM(J1266:J1272)</f>
        <v>456655</v>
      </c>
      <c r="K1273" s="236">
        <f t="shared" ref="K1273" si="530">SUM(K1266:K1272)</f>
        <v>484054.30000000005</v>
      </c>
      <c r="L1273" s="172">
        <f t="shared" ref="L1273" si="531">SUM(L1266:L1272)</f>
        <v>513097.55800000002</v>
      </c>
    </row>
    <row r="1274" spans="1:12" s="3" customFormat="1" ht="15" x14ac:dyDescent="0.25">
      <c r="A1274" s="18"/>
      <c r="B1274" s="19"/>
      <c r="C1274" s="28"/>
      <c r="D1274" s="21"/>
      <c r="E1274" s="20"/>
      <c r="F1274" s="21"/>
      <c r="G1274" s="20"/>
      <c r="H1274" s="21"/>
      <c r="I1274" s="238"/>
      <c r="J1274" s="168"/>
      <c r="K1274" s="178"/>
      <c r="L1274" s="168"/>
    </row>
    <row r="1275" spans="1:12" s="3" customFormat="1" ht="15" x14ac:dyDescent="0.25">
      <c r="A1275" s="18"/>
      <c r="B1275" s="19" t="s">
        <v>73</v>
      </c>
      <c r="C1275" s="28">
        <f>C1262+C1273</f>
        <v>2294034</v>
      </c>
      <c r="D1275" s="36">
        <f t="shared" ref="D1275:L1275" si="532">D1262+D1273</f>
        <v>153033.82</v>
      </c>
      <c r="E1275" s="28">
        <f t="shared" si="532"/>
        <v>0</v>
      </c>
      <c r="F1275" s="36">
        <f t="shared" si="532"/>
        <v>967156.88</v>
      </c>
      <c r="G1275" s="28">
        <f t="shared" si="532"/>
        <v>1326877.1200000001</v>
      </c>
      <c r="H1275" s="21">
        <v>42.15</v>
      </c>
      <c r="I1275" s="243">
        <f t="shared" si="532"/>
        <v>27555</v>
      </c>
      <c r="J1275" s="172">
        <f t="shared" si="532"/>
        <v>2321589</v>
      </c>
      <c r="K1275" s="236">
        <f t="shared" si="532"/>
        <v>2460884.34</v>
      </c>
      <c r="L1275" s="172">
        <f t="shared" si="532"/>
        <v>2608537.4004000002</v>
      </c>
    </row>
    <row r="1276" spans="1:12" s="3" customFormat="1" ht="15" x14ac:dyDescent="0.25">
      <c r="A1276" s="18"/>
      <c r="B1276" s="19"/>
      <c r="C1276" s="28"/>
      <c r="D1276" s="21"/>
      <c r="E1276" s="20"/>
      <c r="F1276" s="21"/>
      <c r="G1276" s="20"/>
      <c r="H1276" s="21"/>
      <c r="I1276" s="238"/>
      <c r="J1276" s="168"/>
      <c r="K1276" s="178"/>
      <c r="L1276" s="168"/>
    </row>
    <row r="1277" spans="1:12" s="3" customFormat="1" ht="15" x14ac:dyDescent="0.25">
      <c r="A1277" s="18"/>
      <c r="B1277" s="19" t="s">
        <v>74</v>
      </c>
      <c r="C1277" s="28"/>
      <c r="D1277" s="21"/>
      <c r="E1277" s="20"/>
      <c r="F1277" s="21"/>
      <c r="G1277" s="20"/>
      <c r="H1277" s="21"/>
      <c r="I1277" s="238"/>
      <c r="J1277" s="168"/>
      <c r="K1277" s="178"/>
      <c r="L1277" s="168"/>
    </row>
    <row r="1278" spans="1:12" s="3" customFormat="1" ht="15" x14ac:dyDescent="0.25">
      <c r="A1278" s="18"/>
      <c r="B1278" s="19"/>
      <c r="C1278" s="28"/>
      <c r="D1278" s="21"/>
      <c r="E1278" s="20"/>
      <c r="F1278" s="21"/>
      <c r="G1278" s="20"/>
      <c r="H1278" s="21"/>
      <c r="I1278" s="238"/>
      <c r="J1278" s="168"/>
      <c r="K1278" s="178"/>
      <c r="L1278" s="168"/>
    </row>
    <row r="1279" spans="1:12" s="3" customFormat="1" ht="15" x14ac:dyDescent="0.25">
      <c r="A1279" s="18"/>
      <c r="B1279" s="19" t="s">
        <v>75</v>
      </c>
      <c r="C1279" s="28"/>
      <c r="D1279" s="21"/>
      <c r="E1279" s="20"/>
      <c r="F1279" s="21"/>
      <c r="G1279" s="20"/>
      <c r="H1279" s="21"/>
      <c r="I1279" s="238"/>
      <c r="J1279" s="168"/>
      <c r="K1279" s="178"/>
      <c r="L1279" s="168"/>
    </row>
    <row r="1280" spans="1:12" s="3" customFormat="1" ht="15" x14ac:dyDescent="0.25">
      <c r="A1280" s="18"/>
      <c r="B1280" s="19"/>
      <c r="C1280" s="28"/>
      <c r="D1280" s="21"/>
      <c r="E1280" s="20"/>
      <c r="F1280" s="21"/>
      <c r="G1280" s="20"/>
      <c r="H1280" s="21"/>
      <c r="I1280" s="238"/>
      <c r="J1280" s="168"/>
      <c r="K1280" s="178"/>
      <c r="L1280" s="168"/>
    </row>
    <row r="1281" spans="1:12" s="323" customFormat="1" x14ac:dyDescent="0.2">
      <c r="A1281" s="319" t="s">
        <v>946</v>
      </c>
      <c r="B1281" s="320" t="s">
        <v>201</v>
      </c>
      <c r="C1281" s="321">
        <v>0</v>
      </c>
      <c r="D1281" s="322">
        <v>0</v>
      </c>
      <c r="E1281" s="241">
        <v>0</v>
      </c>
      <c r="F1281" s="322">
        <v>0</v>
      </c>
      <c r="G1281" s="241">
        <v>0</v>
      </c>
      <c r="H1281" s="322">
        <v>0</v>
      </c>
      <c r="I1281" s="240">
        <f>'Tech-Electricity'!I46</f>
        <v>0</v>
      </c>
      <c r="J1281" s="109">
        <f t="shared" ref="J1281:J1284" si="533">C1281+I1281</f>
        <v>0</v>
      </c>
      <c r="K1281" s="229"/>
      <c r="L1281" s="109"/>
    </row>
    <row r="1282" spans="1:12" s="323" customFormat="1" x14ac:dyDescent="0.2">
      <c r="A1282" s="319"/>
      <c r="B1282" s="320" t="s">
        <v>191</v>
      </c>
      <c r="C1282" s="321"/>
      <c r="D1282" s="322"/>
      <c r="E1282" s="325"/>
      <c r="F1282" s="326"/>
      <c r="G1282" s="326"/>
      <c r="H1282" s="326"/>
      <c r="I1282" s="327">
        <f>'Tech-Electricity'!I47</f>
        <v>100000</v>
      </c>
      <c r="J1282" s="327">
        <f>'Tech-Electricity'!J47</f>
        <v>100000</v>
      </c>
      <c r="K1282" s="327">
        <f>'Tech-Electricity'!K47</f>
        <v>106000</v>
      </c>
      <c r="L1282" s="327">
        <f>'Tech-Electricity'!L47</f>
        <v>112360</v>
      </c>
    </row>
    <row r="1283" spans="1:12" x14ac:dyDescent="0.2">
      <c r="A1283" s="5"/>
      <c r="B1283" s="7" t="s">
        <v>466</v>
      </c>
      <c r="C1283" s="29">
        <v>0</v>
      </c>
      <c r="D1283" s="11">
        <v>0</v>
      </c>
      <c r="E1283" s="282">
        <v>0</v>
      </c>
      <c r="F1283" s="262">
        <v>0</v>
      </c>
      <c r="G1283" s="262">
        <f>C1283-E1283-F1283</f>
        <v>0</v>
      </c>
      <c r="H1283" s="262">
        <v>0</v>
      </c>
      <c r="I1283" s="264">
        <f>'Tech-Electricity'!I48</f>
        <v>1000000</v>
      </c>
      <c r="J1283" s="264">
        <f>'Tech-Electricity'!J48</f>
        <v>1000000</v>
      </c>
      <c r="K1283" s="264">
        <f>'Tech-Electricity'!K48</f>
        <v>0</v>
      </c>
      <c r="L1283" s="264">
        <f>'Tech-Electricity'!L48</f>
        <v>0</v>
      </c>
    </row>
    <row r="1284" spans="1:12" x14ac:dyDescent="0.2">
      <c r="A1284" s="5" t="s">
        <v>947</v>
      </c>
      <c r="B1284" s="7" t="s">
        <v>262</v>
      </c>
      <c r="C1284" s="29">
        <v>0</v>
      </c>
      <c r="D1284" s="11">
        <v>0</v>
      </c>
      <c r="E1284" s="9">
        <v>0</v>
      </c>
      <c r="F1284" s="11">
        <v>0</v>
      </c>
      <c r="G1284" s="9">
        <v>0</v>
      </c>
      <c r="H1284" s="11">
        <v>0</v>
      </c>
      <c r="I1284" s="240">
        <f>'Tech-Electricity'!I49</f>
        <v>0</v>
      </c>
      <c r="J1284" s="162">
        <f t="shared" si="533"/>
        <v>0</v>
      </c>
      <c r="K1284" s="169"/>
      <c r="L1284" s="162"/>
    </row>
    <row r="1285" spans="1:12" x14ac:dyDescent="0.2">
      <c r="A1285" s="5"/>
      <c r="B1285" s="7"/>
      <c r="C1285" s="29"/>
      <c r="D1285" s="11"/>
      <c r="E1285" s="9"/>
      <c r="F1285" s="11"/>
      <c r="G1285" s="9"/>
      <c r="H1285" s="11"/>
      <c r="I1285" s="240"/>
      <c r="J1285" s="162"/>
      <c r="K1285" s="169"/>
      <c r="L1285" s="162"/>
    </row>
    <row r="1286" spans="1:12" s="3" customFormat="1" ht="15" x14ac:dyDescent="0.25">
      <c r="A1286" s="18"/>
      <c r="B1286" s="19" t="s">
        <v>287</v>
      </c>
      <c r="C1286" s="28">
        <f>SUM(C1281:C1285)</f>
        <v>0</v>
      </c>
      <c r="D1286" s="36">
        <f>SUM(D1281:D1285)</f>
        <v>0</v>
      </c>
      <c r="E1286" s="28">
        <f>SUM(E1281:E1285)</f>
        <v>0</v>
      </c>
      <c r="F1286" s="36">
        <f>SUM(F1281:F1285)</f>
        <v>0</v>
      </c>
      <c r="G1286" s="28">
        <f>SUM(G1281:G1285)</f>
        <v>0</v>
      </c>
      <c r="H1286" s="21">
        <v>0</v>
      </c>
      <c r="I1286" s="243">
        <f>SUM(I1281:I1285)</f>
        <v>1100000</v>
      </c>
      <c r="J1286" s="172">
        <f>SUM(J1281:J1285)</f>
        <v>1100000</v>
      </c>
      <c r="K1286" s="236">
        <f>SUM(K1281:K1285)</f>
        <v>106000</v>
      </c>
      <c r="L1286" s="172">
        <f>SUM(L1281:L1285)</f>
        <v>112360</v>
      </c>
    </row>
    <row r="1287" spans="1:12" s="3" customFormat="1" ht="15" x14ac:dyDescent="0.25">
      <c r="A1287" s="18"/>
      <c r="B1287" s="19"/>
      <c r="C1287" s="28"/>
      <c r="D1287" s="21"/>
      <c r="E1287" s="20"/>
      <c r="F1287" s="21"/>
      <c r="G1287" s="20"/>
      <c r="H1287" s="21"/>
      <c r="I1287" s="238"/>
      <c r="J1287" s="168"/>
      <c r="K1287" s="178"/>
      <c r="L1287" s="168"/>
    </row>
    <row r="1288" spans="1:12" s="3" customFormat="1" ht="15" x14ac:dyDescent="0.25">
      <c r="A1288" s="18"/>
      <c r="B1288" s="19" t="s">
        <v>292</v>
      </c>
      <c r="C1288" s="28">
        <v>0</v>
      </c>
      <c r="D1288" s="21">
        <v>0</v>
      </c>
      <c r="E1288" s="20">
        <v>0</v>
      </c>
      <c r="F1288" s="21">
        <v>0</v>
      </c>
      <c r="G1288" s="20">
        <v>0</v>
      </c>
      <c r="H1288" s="21">
        <v>0</v>
      </c>
      <c r="I1288" s="238"/>
      <c r="J1288" s="168"/>
      <c r="K1288" s="178"/>
      <c r="L1288" s="168"/>
    </row>
    <row r="1289" spans="1:12" s="3" customFormat="1" ht="15" x14ac:dyDescent="0.25">
      <c r="A1289" s="18"/>
      <c r="B1289" s="19"/>
      <c r="C1289" s="28"/>
      <c r="D1289" s="21"/>
      <c r="E1289" s="20"/>
      <c r="F1289" s="21"/>
      <c r="G1289" s="20"/>
      <c r="H1289" s="21"/>
      <c r="I1289" s="238"/>
      <c r="J1289" s="168"/>
      <c r="K1289" s="178"/>
      <c r="L1289" s="168"/>
    </row>
    <row r="1290" spans="1:12" s="3" customFormat="1" ht="15" x14ac:dyDescent="0.25">
      <c r="A1290" s="18"/>
      <c r="B1290" s="19" t="s">
        <v>1009</v>
      </c>
      <c r="C1290" s="28"/>
      <c r="D1290" s="21"/>
      <c r="E1290" s="20"/>
      <c r="F1290" s="21"/>
      <c r="G1290" s="20"/>
      <c r="H1290" s="21"/>
      <c r="I1290" s="238"/>
      <c r="J1290" s="168"/>
      <c r="K1290" s="178"/>
      <c r="L1290" s="168"/>
    </row>
    <row r="1291" spans="1:12" s="3" customFormat="1" ht="15" x14ac:dyDescent="0.25">
      <c r="A1291" s="18"/>
      <c r="B1291" s="19"/>
      <c r="C1291" s="28"/>
      <c r="D1291" s="21"/>
      <c r="E1291" s="20"/>
      <c r="F1291" s="21"/>
      <c r="G1291" s="20"/>
      <c r="H1291" s="21"/>
      <c r="I1291" s="238"/>
      <c r="J1291" s="168"/>
      <c r="K1291" s="178"/>
      <c r="L1291" s="168"/>
    </row>
    <row r="1292" spans="1:12" x14ac:dyDescent="0.2">
      <c r="A1292" s="5" t="s">
        <v>948</v>
      </c>
      <c r="B1292" s="7" t="s">
        <v>302</v>
      </c>
      <c r="C1292" s="29">
        <v>287500</v>
      </c>
      <c r="D1292" s="11">
        <v>186200</v>
      </c>
      <c r="E1292" s="9">
        <v>12000</v>
      </c>
      <c r="F1292" s="11">
        <v>214026.66</v>
      </c>
      <c r="G1292" s="9">
        <f t="shared" ref="G1292:G1295" si="534">C1292-E1292-F1292</f>
        <v>61473.34</v>
      </c>
      <c r="H1292" s="11">
        <v>74.44</v>
      </c>
      <c r="I1292" s="240">
        <f>'Tech-Electricity'!I57</f>
        <v>200000</v>
      </c>
      <c r="J1292" s="109">
        <f>'Tech-Electricity'!J57</f>
        <v>487500</v>
      </c>
      <c r="K1292" s="229">
        <f>'Tech-Electricity'!K57</f>
        <v>516750</v>
      </c>
      <c r="L1292" s="109">
        <f>'Tech-Electricity'!L57</f>
        <v>547755</v>
      </c>
    </row>
    <row r="1293" spans="1:12" x14ac:dyDescent="0.2">
      <c r="A1293" s="5" t="s">
        <v>949</v>
      </c>
      <c r="B1293" s="7" t="s">
        <v>312</v>
      </c>
      <c r="C1293" s="29">
        <v>62500</v>
      </c>
      <c r="D1293" s="11">
        <v>0</v>
      </c>
      <c r="E1293" s="9">
        <v>16851.78</v>
      </c>
      <c r="F1293" s="11">
        <v>0</v>
      </c>
      <c r="G1293" s="9">
        <f t="shared" si="534"/>
        <v>45648.22</v>
      </c>
      <c r="H1293" s="11">
        <v>0</v>
      </c>
      <c r="I1293" s="240">
        <f>'Tech-Electricity'!I58</f>
        <v>-30000</v>
      </c>
      <c r="J1293" s="162">
        <f t="shared" ref="J1293:J1295" si="535">C1293+I1293</f>
        <v>32500</v>
      </c>
      <c r="K1293" s="229">
        <f>'Tech-Electricity'!K58</f>
        <v>34450</v>
      </c>
      <c r="L1293" s="109">
        <f>'Tech-Electricity'!L58</f>
        <v>36517</v>
      </c>
    </row>
    <row r="1294" spans="1:12" x14ac:dyDescent="0.2">
      <c r="A1294" s="5" t="s">
        <v>950</v>
      </c>
      <c r="B1294" s="7" t="s">
        <v>314</v>
      </c>
      <c r="C1294" s="29">
        <v>31740</v>
      </c>
      <c r="D1294" s="11">
        <v>19380</v>
      </c>
      <c r="E1294" s="9">
        <v>0</v>
      </c>
      <c r="F1294" s="11">
        <v>19380</v>
      </c>
      <c r="G1294" s="9">
        <f t="shared" si="534"/>
        <v>12360</v>
      </c>
      <c r="H1294" s="11">
        <v>61.05</v>
      </c>
      <c r="I1294" s="240">
        <f>'Tech-Electricity'!I59</f>
        <v>30000</v>
      </c>
      <c r="J1294" s="162">
        <f t="shared" si="535"/>
        <v>61740</v>
      </c>
      <c r="K1294" s="229">
        <f>'Tech-Electricity'!K59</f>
        <v>65444.4</v>
      </c>
      <c r="L1294" s="109">
        <f>'Tech-Electricity'!L59</f>
        <v>69371.063999999998</v>
      </c>
    </row>
    <row r="1295" spans="1:12" x14ac:dyDescent="0.2">
      <c r="A1295" s="5" t="s">
        <v>951</v>
      </c>
      <c r="B1295" s="7" t="s">
        <v>321</v>
      </c>
      <c r="C1295" s="29">
        <v>104872</v>
      </c>
      <c r="D1295" s="11">
        <v>0</v>
      </c>
      <c r="E1295" s="9">
        <v>0</v>
      </c>
      <c r="F1295" s="11">
        <v>0</v>
      </c>
      <c r="G1295" s="9">
        <f t="shared" si="534"/>
        <v>104872</v>
      </c>
      <c r="H1295" s="11">
        <v>0</v>
      </c>
      <c r="I1295" s="240">
        <f>'Tech-Electricity'!I60</f>
        <v>0</v>
      </c>
      <c r="J1295" s="162">
        <f t="shared" si="535"/>
        <v>104872</v>
      </c>
      <c r="K1295" s="229">
        <f>'Tech-Electricity'!K60</f>
        <v>111164.32</v>
      </c>
      <c r="L1295" s="109">
        <f>'Tech-Electricity'!L60</f>
        <v>117834.17920000001</v>
      </c>
    </row>
    <row r="1296" spans="1:12" x14ac:dyDescent="0.2">
      <c r="A1296" s="5"/>
      <c r="B1296" s="7"/>
      <c r="C1296" s="29"/>
      <c r="D1296" s="11"/>
      <c r="E1296" s="9"/>
      <c r="F1296" s="11"/>
      <c r="G1296" s="9"/>
      <c r="H1296" s="11"/>
      <c r="I1296" s="240"/>
      <c r="J1296" s="162"/>
      <c r="K1296" s="169"/>
      <c r="L1296" s="162"/>
    </row>
    <row r="1297" spans="1:12" s="3" customFormat="1" ht="15" x14ac:dyDescent="0.25">
      <c r="A1297" s="18"/>
      <c r="B1297" s="19" t="s">
        <v>1003</v>
      </c>
      <c r="C1297" s="28">
        <f>SUM(C1292:C1296)</f>
        <v>486612</v>
      </c>
      <c r="D1297" s="36">
        <f t="shared" ref="D1297:G1297" si="536">SUM(D1292:D1296)</f>
        <v>205580</v>
      </c>
      <c r="E1297" s="28">
        <f t="shared" si="536"/>
        <v>28851.78</v>
      </c>
      <c r="F1297" s="36">
        <f t="shared" si="536"/>
        <v>233406.66</v>
      </c>
      <c r="G1297" s="28">
        <f t="shared" si="536"/>
        <v>224353.56</v>
      </c>
      <c r="H1297" s="21">
        <v>47.96</v>
      </c>
      <c r="I1297" s="243">
        <f t="shared" ref="I1297" si="537">SUM(I1292:I1296)</f>
        <v>200000</v>
      </c>
      <c r="J1297" s="172">
        <f t="shared" ref="J1297" si="538">SUM(J1292:J1296)</f>
        <v>686612</v>
      </c>
      <c r="K1297" s="236">
        <f t="shared" ref="K1297" si="539">SUM(K1292:K1296)</f>
        <v>727808.72</v>
      </c>
      <c r="L1297" s="172">
        <f t="shared" ref="L1297" si="540">SUM(L1292:L1296)</f>
        <v>771477.24320000003</v>
      </c>
    </row>
    <row r="1298" spans="1:12" s="3" customFormat="1" ht="15" x14ac:dyDescent="0.25">
      <c r="A1298" s="18"/>
      <c r="B1298" s="19"/>
      <c r="C1298" s="28"/>
      <c r="D1298" s="21"/>
      <c r="E1298" s="20"/>
      <c r="F1298" s="21"/>
      <c r="G1298" s="20"/>
      <c r="H1298" s="21"/>
      <c r="I1298" s="238"/>
      <c r="J1298" s="168"/>
      <c r="K1298" s="178"/>
      <c r="L1298" s="168"/>
    </row>
    <row r="1299" spans="1:12" s="3" customFormat="1" ht="15" x14ac:dyDescent="0.25">
      <c r="A1299" s="18"/>
      <c r="B1299" s="19" t="s">
        <v>338</v>
      </c>
      <c r="C1299" s="28">
        <f>C1275+C1286+C1297</f>
        <v>2780646</v>
      </c>
      <c r="D1299" s="36">
        <f>D1275+D1286+D1297</f>
        <v>358613.82</v>
      </c>
      <c r="E1299" s="28">
        <f>E1275+E1286+E1297</f>
        <v>28851.78</v>
      </c>
      <c r="F1299" s="36">
        <f>F1275+F1286+F1297</f>
        <v>1200563.54</v>
      </c>
      <c r="G1299" s="28">
        <f>G1275+G1286+G1297</f>
        <v>1551230.6800000002</v>
      </c>
      <c r="H1299" s="21">
        <v>43.17</v>
      </c>
      <c r="I1299" s="243">
        <f>I1275+I1286+I1297</f>
        <v>1327555</v>
      </c>
      <c r="J1299" s="172">
        <f>J1275+J1286+J1297</f>
        <v>4108201</v>
      </c>
      <c r="K1299" s="236">
        <f>K1275+K1286+K1297</f>
        <v>3294693.0599999996</v>
      </c>
      <c r="L1299" s="172">
        <f>L1275+L1286+L1297</f>
        <v>3492374.6436000001</v>
      </c>
    </row>
    <row r="1300" spans="1:12" x14ac:dyDescent="0.2">
      <c r="A1300" s="5"/>
      <c r="B1300" s="7"/>
      <c r="C1300" s="29"/>
      <c r="D1300" s="11"/>
      <c r="E1300" s="9"/>
      <c r="F1300" s="11"/>
      <c r="G1300" s="9"/>
      <c r="H1300" s="11"/>
      <c r="I1300" s="240"/>
      <c r="J1300" s="162"/>
      <c r="K1300" s="169"/>
      <c r="L1300" s="162"/>
    </row>
    <row r="1301" spans="1:12" s="3" customFormat="1" ht="15" x14ac:dyDescent="0.25">
      <c r="A1301" s="18"/>
      <c r="B1301" s="19" t="s">
        <v>339</v>
      </c>
      <c r="C1301" s="28">
        <f>C1299</f>
        <v>2780646</v>
      </c>
      <c r="D1301" s="36">
        <f t="shared" ref="D1301:G1301" si="541">D1299</f>
        <v>358613.82</v>
      </c>
      <c r="E1301" s="28">
        <f t="shared" si="541"/>
        <v>28851.78</v>
      </c>
      <c r="F1301" s="36">
        <f t="shared" si="541"/>
        <v>1200563.54</v>
      </c>
      <c r="G1301" s="28">
        <f t="shared" si="541"/>
        <v>1551230.6800000002</v>
      </c>
      <c r="H1301" s="21">
        <v>43.17</v>
      </c>
      <c r="I1301" s="243">
        <f t="shared" ref="I1301:L1301" si="542">I1299</f>
        <v>1327555</v>
      </c>
      <c r="J1301" s="172">
        <f t="shared" si="542"/>
        <v>4108201</v>
      </c>
      <c r="K1301" s="236">
        <f t="shared" si="542"/>
        <v>3294693.0599999996</v>
      </c>
      <c r="L1301" s="172">
        <f t="shared" si="542"/>
        <v>3492374.6436000001</v>
      </c>
    </row>
    <row r="1302" spans="1:12" s="3" customFormat="1" ht="15" x14ac:dyDescent="0.25">
      <c r="A1302" s="18"/>
      <c r="B1302" s="19"/>
      <c r="C1302" s="28"/>
      <c r="D1302" s="21"/>
      <c r="E1302" s="20"/>
      <c r="F1302" s="21"/>
      <c r="G1302" s="20"/>
      <c r="H1302" s="21"/>
      <c r="I1302" s="238"/>
      <c r="J1302" s="168"/>
      <c r="K1302" s="178"/>
      <c r="L1302" s="168"/>
    </row>
    <row r="1303" spans="1:12" s="3" customFormat="1" ht="15" x14ac:dyDescent="0.25">
      <c r="A1303" s="18"/>
      <c r="B1303" s="19" t="s">
        <v>340</v>
      </c>
      <c r="C1303" s="28"/>
      <c r="D1303" s="21"/>
      <c r="E1303" s="20"/>
      <c r="F1303" s="21"/>
      <c r="G1303" s="20"/>
      <c r="H1303" s="21"/>
      <c r="I1303" s="238"/>
      <c r="J1303" s="168"/>
      <c r="K1303" s="178"/>
      <c r="L1303" s="168"/>
    </row>
    <row r="1304" spans="1:12" s="3" customFormat="1" ht="15" x14ac:dyDescent="0.25">
      <c r="A1304" s="18"/>
      <c r="B1304" s="19"/>
      <c r="C1304" s="28"/>
      <c r="D1304" s="21"/>
      <c r="E1304" s="20"/>
      <c r="F1304" s="21"/>
      <c r="G1304" s="20"/>
      <c r="H1304" s="21"/>
      <c r="I1304" s="238"/>
      <c r="J1304" s="168"/>
      <c r="K1304" s="178"/>
      <c r="L1304" s="168"/>
    </row>
    <row r="1305" spans="1:12" s="3" customFormat="1" ht="15" x14ac:dyDescent="0.25">
      <c r="A1305" s="18"/>
      <c r="B1305" s="19" t="s">
        <v>345</v>
      </c>
      <c r="C1305" s="28"/>
      <c r="D1305" s="21"/>
      <c r="E1305" s="20"/>
      <c r="F1305" s="21"/>
      <c r="G1305" s="20"/>
      <c r="H1305" s="21"/>
      <c r="I1305" s="238"/>
      <c r="J1305" s="168"/>
      <c r="K1305" s="178"/>
      <c r="L1305" s="168"/>
    </row>
    <row r="1306" spans="1:12" s="3" customFormat="1" ht="15" x14ac:dyDescent="0.25">
      <c r="A1306" s="18"/>
      <c r="B1306" s="19"/>
      <c r="C1306" s="28"/>
      <c r="D1306" s="21"/>
      <c r="E1306" s="20"/>
      <c r="F1306" s="21"/>
      <c r="G1306" s="20"/>
      <c r="H1306" s="21"/>
      <c r="I1306" s="238"/>
      <c r="J1306" s="168"/>
      <c r="K1306" s="178"/>
      <c r="L1306" s="168"/>
    </row>
    <row r="1307" spans="1:12" x14ac:dyDescent="0.2">
      <c r="A1307" s="5" t="s">
        <v>952</v>
      </c>
      <c r="B1307" s="7" t="s">
        <v>347</v>
      </c>
      <c r="C1307" s="29">
        <v>-243156</v>
      </c>
      <c r="D1307" s="11">
        <v>0</v>
      </c>
      <c r="E1307" s="9">
        <v>0</v>
      </c>
      <c r="F1307" s="11">
        <v>192417.71</v>
      </c>
      <c r="G1307" s="9">
        <v>-435573.71</v>
      </c>
      <c r="H1307" s="11">
        <v>-79.13</v>
      </c>
      <c r="I1307" s="240">
        <f>'Tech-Electricity'!I72</f>
        <v>-307295.24</v>
      </c>
      <c r="J1307" s="109">
        <f>'Tech-Electricity'!J72</f>
        <v>-550451.24</v>
      </c>
      <c r="K1307" s="229">
        <f>'Tech-Electricity'!K72</f>
        <v>-583478.31440000003</v>
      </c>
      <c r="L1307" s="109">
        <f>'Tech-Electricity'!L72</f>
        <v>-618487.01326400007</v>
      </c>
    </row>
    <row r="1308" spans="1:12" x14ac:dyDescent="0.2">
      <c r="A1308" s="5" t="s">
        <v>953</v>
      </c>
      <c r="B1308" s="7" t="s">
        <v>349</v>
      </c>
      <c r="C1308" s="29">
        <v>-10506531</v>
      </c>
      <c r="D1308" s="11">
        <v>-393243.86</v>
      </c>
      <c r="E1308" s="9">
        <v>0</v>
      </c>
      <c r="F1308" s="11">
        <v>-2666454.58</v>
      </c>
      <c r="G1308" s="9">
        <v>-7840076.4199999999</v>
      </c>
      <c r="H1308" s="11">
        <v>25.37</v>
      </c>
      <c r="I1308" s="240">
        <f>'Tech-Electricity'!I73</f>
        <v>1500000</v>
      </c>
      <c r="J1308" s="162">
        <f t="shared" ref="J1308" si="543">C1308+I1308</f>
        <v>-9006531</v>
      </c>
      <c r="K1308" s="229">
        <f>'Tech-Electricity'!K73</f>
        <v>-9546922.8599999994</v>
      </c>
      <c r="L1308" s="109">
        <f>'Tech-Electricity'!L73</f>
        <v>-10119738.2316</v>
      </c>
    </row>
    <row r="1309" spans="1:12" x14ac:dyDescent="0.2">
      <c r="A1309" s="5"/>
      <c r="B1309" s="7"/>
      <c r="C1309" s="29"/>
      <c r="D1309" s="11"/>
      <c r="E1309" s="9"/>
      <c r="F1309" s="11"/>
      <c r="G1309" s="9"/>
      <c r="H1309" s="11"/>
      <c r="I1309" s="240"/>
      <c r="J1309" s="162"/>
      <c r="K1309" s="169"/>
      <c r="L1309" s="162"/>
    </row>
    <row r="1310" spans="1:12" s="3" customFormat="1" ht="15" x14ac:dyDescent="0.25">
      <c r="A1310" s="18"/>
      <c r="B1310" s="19" t="s">
        <v>352</v>
      </c>
      <c r="C1310" s="28">
        <f>SUM(C1307:C1309)</f>
        <v>-10749687</v>
      </c>
      <c r="D1310" s="36">
        <f t="shared" ref="D1310:G1310" si="544">SUM(D1307:D1309)</f>
        <v>-393243.86</v>
      </c>
      <c r="E1310" s="28">
        <f t="shared" si="544"/>
        <v>0</v>
      </c>
      <c r="F1310" s="36">
        <f t="shared" si="544"/>
        <v>-2474036.87</v>
      </c>
      <c r="G1310" s="28">
        <f t="shared" si="544"/>
        <v>-8275650.1299999999</v>
      </c>
      <c r="H1310" s="21">
        <v>23.01</v>
      </c>
      <c r="I1310" s="243">
        <f t="shared" ref="I1310" si="545">SUM(I1307:I1309)</f>
        <v>1192704.76</v>
      </c>
      <c r="J1310" s="172">
        <f t="shared" ref="J1310" si="546">SUM(J1307:J1309)</f>
        <v>-9556982.2400000002</v>
      </c>
      <c r="K1310" s="236">
        <f t="shared" ref="K1310" si="547">SUM(K1307:K1309)</f>
        <v>-10130401.1744</v>
      </c>
      <c r="L1310" s="172">
        <f t="shared" ref="L1310" si="548">SUM(L1307:L1309)</f>
        <v>-10738225.244864</v>
      </c>
    </row>
    <row r="1311" spans="1:12" x14ac:dyDescent="0.2">
      <c r="A1311" s="5"/>
      <c r="B1311" s="7"/>
      <c r="C1311" s="29"/>
      <c r="D1311" s="11"/>
      <c r="E1311" s="9"/>
      <c r="F1311" s="11"/>
      <c r="G1311" s="9"/>
      <c r="H1311" s="11"/>
      <c r="I1311" s="240"/>
      <c r="J1311" s="162"/>
      <c r="K1311" s="169"/>
      <c r="L1311" s="162"/>
    </row>
    <row r="1312" spans="1:12" s="3" customFormat="1" ht="15" x14ac:dyDescent="0.25">
      <c r="A1312" s="18"/>
      <c r="B1312" s="19" t="s">
        <v>381</v>
      </c>
      <c r="C1312" s="28"/>
      <c r="D1312" s="21"/>
      <c r="E1312" s="20"/>
      <c r="F1312" s="21"/>
      <c r="G1312" s="20"/>
      <c r="H1312" s="21"/>
      <c r="I1312" s="238"/>
      <c r="J1312" s="168"/>
      <c r="K1312" s="178"/>
      <c r="L1312" s="168"/>
    </row>
    <row r="1313" spans="1:12" s="3" customFormat="1" ht="15" x14ac:dyDescent="0.25">
      <c r="A1313" s="18"/>
      <c r="B1313" s="19"/>
      <c r="C1313" s="28"/>
      <c r="D1313" s="21"/>
      <c r="E1313" s="20"/>
      <c r="F1313" s="21"/>
      <c r="G1313" s="20"/>
      <c r="H1313" s="21"/>
      <c r="I1313" s="238"/>
      <c r="J1313" s="168"/>
      <c r="K1313" s="178"/>
      <c r="L1313" s="168"/>
    </row>
    <row r="1314" spans="1:12" x14ac:dyDescent="0.2">
      <c r="A1314" s="5" t="s">
        <v>954</v>
      </c>
      <c r="B1314" s="7" t="s">
        <v>391</v>
      </c>
      <c r="C1314" s="29">
        <v>-50134</v>
      </c>
      <c r="D1314" s="11">
        <v>0</v>
      </c>
      <c r="E1314" s="9">
        <v>0</v>
      </c>
      <c r="F1314" s="11">
        <v>-12139.36</v>
      </c>
      <c r="G1314" s="9">
        <v>-37994.639999999999</v>
      </c>
      <c r="H1314" s="11">
        <v>24.21</v>
      </c>
      <c r="I1314" s="240">
        <f>'Tech-Electricity'!I79</f>
        <v>25855.279999999999</v>
      </c>
      <c r="J1314" s="109">
        <f>'Tech-Electricity'!J79</f>
        <v>-24278.720000000001</v>
      </c>
      <c r="K1314" s="229">
        <f>'Tech-Electricity'!K79</f>
        <v>-25735.443200000002</v>
      </c>
      <c r="L1314" s="109">
        <f>'Tech-Electricity'!L79</f>
        <v>-27279.569792000002</v>
      </c>
    </row>
    <row r="1315" spans="1:12" x14ac:dyDescent="0.2">
      <c r="A1315" s="5" t="s">
        <v>955</v>
      </c>
      <c r="B1315" s="7" t="s">
        <v>191</v>
      </c>
      <c r="C1315" s="29">
        <v>-64940</v>
      </c>
      <c r="D1315" s="11">
        <v>-2546.0500000000002</v>
      </c>
      <c r="E1315" s="9">
        <v>0</v>
      </c>
      <c r="F1315" s="11">
        <v>-205813.09</v>
      </c>
      <c r="G1315" s="9">
        <v>140873.09</v>
      </c>
      <c r="H1315" s="11">
        <v>316.92</v>
      </c>
      <c r="I1315" s="240">
        <f>'Tech-Electricity'!I80</f>
        <v>-243779.64</v>
      </c>
      <c r="J1315" s="162">
        <f t="shared" ref="J1315:J1317" si="549">C1315+I1315</f>
        <v>-308719.64</v>
      </c>
      <c r="K1315" s="229">
        <f>'Tech-Electricity'!K80</f>
        <v>-327242.81839999999</v>
      </c>
      <c r="L1315" s="109">
        <f>'Tech-Electricity'!L80</f>
        <v>-346877.38750399998</v>
      </c>
    </row>
    <row r="1316" spans="1:12" x14ac:dyDescent="0.2">
      <c r="A1316" s="5" t="s">
        <v>956</v>
      </c>
      <c r="B1316" s="7" t="s">
        <v>851</v>
      </c>
      <c r="C1316" s="29">
        <v>-21432</v>
      </c>
      <c r="D1316" s="11">
        <v>0</v>
      </c>
      <c r="E1316" s="9">
        <v>0</v>
      </c>
      <c r="F1316" s="11">
        <v>-12798.21</v>
      </c>
      <c r="G1316" s="9">
        <v>-8633.7900000000009</v>
      </c>
      <c r="H1316" s="11">
        <v>59.71</v>
      </c>
      <c r="I1316" s="240">
        <f>'Tech-Electricity'!I81</f>
        <v>0</v>
      </c>
      <c r="J1316" s="162">
        <f t="shared" si="549"/>
        <v>-21432</v>
      </c>
      <c r="K1316" s="229">
        <f>'Tech-Electricity'!K81</f>
        <v>-22717.919999999998</v>
      </c>
      <c r="L1316" s="109">
        <f>'Tech-Electricity'!L81</f>
        <v>-24080.995199999998</v>
      </c>
    </row>
    <row r="1317" spans="1:12" x14ac:dyDescent="0.2">
      <c r="A1317" s="5" t="s">
        <v>957</v>
      </c>
      <c r="B1317" s="7" t="s">
        <v>958</v>
      </c>
      <c r="C1317" s="29">
        <v>-24592</v>
      </c>
      <c r="D1317" s="11">
        <v>-989.52</v>
      </c>
      <c r="E1317" s="9">
        <v>0</v>
      </c>
      <c r="F1317" s="11">
        <v>-14720.75</v>
      </c>
      <c r="G1317" s="9">
        <v>-9871.25</v>
      </c>
      <c r="H1317" s="11">
        <v>59.85</v>
      </c>
      <c r="I1317" s="240">
        <f>'Tech-Electricity'!I82</f>
        <v>0</v>
      </c>
      <c r="J1317" s="162">
        <f t="shared" si="549"/>
        <v>-24592</v>
      </c>
      <c r="K1317" s="229">
        <f>'Tech-Electricity'!K82</f>
        <v>-26067.52</v>
      </c>
      <c r="L1317" s="109">
        <f>'Tech-Electricity'!L82</f>
        <v>-27631.571199999998</v>
      </c>
    </row>
    <row r="1318" spans="1:12" x14ac:dyDescent="0.2">
      <c r="A1318" s="5" t="s">
        <v>959</v>
      </c>
      <c r="B1318" s="7" t="s">
        <v>408</v>
      </c>
      <c r="C1318" s="29">
        <v>0</v>
      </c>
      <c r="D1318" s="11">
        <v>0</v>
      </c>
      <c r="E1318" s="9">
        <v>0</v>
      </c>
      <c r="F1318" s="11">
        <v>0</v>
      </c>
      <c r="G1318" s="9">
        <v>0</v>
      </c>
      <c r="H1318" s="11">
        <v>0</v>
      </c>
      <c r="I1318" s="240">
        <f>'Tech-Electricity'!I83</f>
        <v>0</v>
      </c>
      <c r="J1318" s="162"/>
      <c r="K1318" s="229">
        <f>'Tech-Electricity'!K83</f>
        <v>0</v>
      </c>
      <c r="L1318" s="109">
        <f>'Tech-Electricity'!L83</f>
        <v>0</v>
      </c>
    </row>
    <row r="1319" spans="1:12" x14ac:dyDescent="0.2">
      <c r="A1319" s="5"/>
      <c r="B1319" s="7"/>
      <c r="C1319" s="29"/>
      <c r="D1319" s="11"/>
      <c r="E1319" s="9"/>
      <c r="F1319" s="11"/>
      <c r="G1319" s="9"/>
      <c r="H1319" s="11"/>
      <c r="I1319" s="240"/>
      <c r="J1319" s="162"/>
      <c r="K1319" s="169"/>
      <c r="L1319" s="162"/>
    </row>
    <row r="1320" spans="1:12" s="3" customFormat="1" ht="15" x14ac:dyDescent="0.25">
      <c r="A1320" s="18"/>
      <c r="B1320" s="19" t="s">
        <v>426</v>
      </c>
      <c r="C1320" s="28">
        <f>SUM(C1314:C1319)</f>
        <v>-161098</v>
      </c>
      <c r="D1320" s="36">
        <f t="shared" ref="D1320:G1320" si="550">SUM(D1314:D1319)</f>
        <v>-3535.57</v>
      </c>
      <c r="E1320" s="28">
        <f t="shared" si="550"/>
        <v>0</v>
      </c>
      <c r="F1320" s="36">
        <f t="shared" si="550"/>
        <v>-245471.41</v>
      </c>
      <c r="G1320" s="28">
        <f t="shared" si="550"/>
        <v>84373.41</v>
      </c>
      <c r="H1320" s="21">
        <v>152.37</v>
      </c>
      <c r="I1320" s="243">
        <f t="shared" ref="I1320:L1320" si="551">SUM(I1314:I1319)</f>
        <v>-217924.36000000002</v>
      </c>
      <c r="J1320" s="172">
        <f t="shared" si="551"/>
        <v>-379022.36</v>
      </c>
      <c r="K1320" s="236">
        <f t="shared" si="551"/>
        <v>-401763.70159999997</v>
      </c>
      <c r="L1320" s="172">
        <f t="shared" si="551"/>
        <v>-425869.52369599999</v>
      </c>
    </row>
    <row r="1321" spans="1:12" s="3" customFormat="1" ht="15" x14ac:dyDescent="0.25">
      <c r="A1321" s="18"/>
      <c r="B1321" s="19"/>
      <c r="C1321" s="28"/>
      <c r="D1321" s="21"/>
      <c r="E1321" s="20"/>
      <c r="F1321" s="21"/>
      <c r="G1321" s="20"/>
      <c r="H1321" s="21"/>
      <c r="I1321" s="238"/>
      <c r="J1321" s="168"/>
      <c r="K1321" s="178"/>
      <c r="L1321" s="168"/>
    </row>
    <row r="1322" spans="1:12" s="3" customFormat="1" ht="15" x14ac:dyDescent="0.25">
      <c r="A1322" s="18"/>
      <c r="B1322" s="19" t="s">
        <v>427</v>
      </c>
      <c r="C1322" s="28">
        <f>C1310+C1320</f>
        <v>-10910785</v>
      </c>
      <c r="D1322" s="36">
        <f t="shared" ref="D1322:L1322" si="552">D1310+D1320</f>
        <v>-396779.43</v>
      </c>
      <c r="E1322" s="28">
        <f t="shared" si="552"/>
        <v>0</v>
      </c>
      <c r="F1322" s="36">
        <f t="shared" si="552"/>
        <v>-2719508.2800000003</v>
      </c>
      <c r="G1322" s="28">
        <f t="shared" si="552"/>
        <v>-8191276.7199999997</v>
      </c>
      <c r="H1322" s="21">
        <v>24.92</v>
      </c>
      <c r="I1322" s="243">
        <f t="shared" si="552"/>
        <v>974780.4</v>
      </c>
      <c r="J1322" s="172">
        <f t="shared" si="552"/>
        <v>-9936004.5999999996</v>
      </c>
      <c r="K1322" s="236">
        <f t="shared" si="552"/>
        <v>-10532164.876</v>
      </c>
      <c r="L1322" s="172">
        <f t="shared" si="552"/>
        <v>-11164094.76856</v>
      </c>
    </row>
    <row r="1323" spans="1:12" x14ac:dyDescent="0.2">
      <c r="A1323" s="5"/>
      <c r="B1323" s="7"/>
      <c r="C1323" s="29"/>
      <c r="D1323" s="11"/>
      <c r="E1323" s="9"/>
      <c r="F1323" s="11"/>
      <c r="G1323" s="9"/>
      <c r="H1323" s="11"/>
      <c r="I1323" s="240"/>
      <c r="J1323" s="162"/>
      <c r="K1323" s="169"/>
      <c r="L1323" s="162"/>
    </row>
    <row r="1324" spans="1:12" s="3" customFormat="1" ht="15" x14ac:dyDescent="0.25">
      <c r="A1324" s="18"/>
      <c r="B1324" s="19" t="s">
        <v>428</v>
      </c>
      <c r="C1324" s="28">
        <f>C1322</f>
        <v>-10910785</v>
      </c>
      <c r="D1324" s="36">
        <f t="shared" ref="D1324:G1324" si="553">D1322</f>
        <v>-396779.43</v>
      </c>
      <c r="E1324" s="28">
        <f t="shared" si="553"/>
        <v>0</v>
      </c>
      <c r="F1324" s="36">
        <f t="shared" si="553"/>
        <v>-2719508.2800000003</v>
      </c>
      <c r="G1324" s="28">
        <f t="shared" si="553"/>
        <v>-8191276.7199999997</v>
      </c>
      <c r="H1324" s="21">
        <v>24.92</v>
      </c>
      <c r="I1324" s="243">
        <f t="shared" ref="I1324:L1324" si="554">I1322</f>
        <v>974780.4</v>
      </c>
      <c r="J1324" s="172">
        <f t="shared" si="554"/>
        <v>-9936004.5999999996</v>
      </c>
      <c r="K1324" s="236">
        <f t="shared" si="554"/>
        <v>-10532164.876</v>
      </c>
      <c r="L1324" s="172">
        <f t="shared" si="554"/>
        <v>-11164094.76856</v>
      </c>
    </row>
    <row r="1325" spans="1:12" s="3" customFormat="1" ht="15" x14ac:dyDescent="0.25">
      <c r="A1325" s="18"/>
      <c r="B1325" s="19"/>
      <c r="C1325" s="28"/>
      <c r="D1325" s="21"/>
      <c r="E1325" s="20"/>
      <c r="F1325" s="21"/>
      <c r="G1325" s="20"/>
      <c r="H1325" s="21"/>
      <c r="I1325" s="238"/>
      <c r="J1325" s="168"/>
      <c r="K1325" s="178"/>
      <c r="L1325" s="168"/>
    </row>
    <row r="1326" spans="1:12" s="3" customFormat="1" ht="15" x14ac:dyDescent="0.25">
      <c r="A1326" s="18"/>
      <c r="B1326" s="19" t="s">
        <v>429</v>
      </c>
      <c r="C1326" s="28">
        <f>C1324</f>
        <v>-10910785</v>
      </c>
      <c r="D1326" s="36">
        <f t="shared" ref="D1326:G1326" si="555">D1324</f>
        <v>-396779.43</v>
      </c>
      <c r="E1326" s="28">
        <f t="shared" si="555"/>
        <v>0</v>
      </c>
      <c r="F1326" s="36">
        <f t="shared" si="555"/>
        <v>-2719508.2800000003</v>
      </c>
      <c r="G1326" s="28">
        <f t="shared" si="555"/>
        <v>-8191276.7199999997</v>
      </c>
      <c r="H1326" s="21">
        <v>24.92</v>
      </c>
      <c r="I1326" s="243">
        <f t="shared" ref="I1326:L1326" si="556">I1324</f>
        <v>974780.4</v>
      </c>
      <c r="J1326" s="172">
        <f t="shared" si="556"/>
        <v>-9936004.5999999996</v>
      </c>
      <c r="K1326" s="236">
        <f t="shared" si="556"/>
        <v>-10532164.876</v>
      </c>
      <c r="L1326" s="172">
        <f t="shared" si="556"/>
        <v>-11164094.76856</v>
      </c>
    </row>
    <row r="1327" spans="1:12" s="3" customFormat="1" ht="15" x14ac:dyDescent="0.25">
      <c r="A1327" s="18"/>
      <c r="B1327" s="19"/>
      <c r="C1327" s="28"/>
      <c r="D1327" s="21"/>
      <c r="E1327" s="20"/>
      <c r="F1327" s="21"/>
      <c r="G1327" s="20"/>
      <c r="H1327" s="21"/>
      <c r="I1327" s="238"/>
      <c r="J1327" s="168"/>
      <c r="K1327" s="178"/>
      <c r="L1327" s="168"/>
    </row>
    <row r="1328" spans="1:12" s="3" customFormat="1" ht="15" x14ac:dyDescent="0.25">
      <c r="A1328" s="18"/>
      <c r="B1328" s="19" t="s">
        <v>430</v>
      </c>
      <c r="C1328" s="28"/>
      <c r="D1328" s="21"/>
      <c r="E1328" s="20"/>
      <c r="F1328" s="21"/>
      <c r="G1328" s="20"/>
      <c r="H1328" s="21"/>
      <c r="I1328" s="238"/>
      <c r="J1328" s="168"/>
      <c r="K1328" s="178"/>
      <c r="L1328" s="168"/>
    </row>
    <row r="1329" spans="1:12" s="3" customFormat="1" ht="15" x14ac:dyDescent="0.25">
      <c r="A1329" s="18"/>
      <c r="B1329" s="19"/>
      <c r="C1329" s="28"/>
      <c r="D1329" s="21"/>
      <c r="E1329" s="20"/>
      <c r="F1329" s="21"/>
      <c r="G1329" s="20"/>
      <c r="H1329" s="21"/>
      <c r="I1329" s="238"/>
      <c r="J1329" s="168"/>
      <c r="K1329" s="178"/>
      <c r="L1329" s="168"/>
    </row>
    <row r="1330" spans="1:12" s="3" customFormat="1" ht="15" x14ac:dyDescent="0.25">
      <c r="A1330" s="18"/>
      <c r="B1330" s="19" t="s">
        <v>431</v>
      </c>
      <c r="C1330" s="28"/>
      <c r="D1330" s="21"/>
      <c r="E1330" s="20"/>
      <c r="F1330" s="21"/>
      <c r="G1330" s="20"/>
      <c r="H1330" s="21"/>
      <c r="I1330" s="238"/>
      <c r="J1330" s="168"/>
      <c r="K1330" s="178"/>
      <c r="L1330" s="168"/>
    </row>
    <row r="1331" spans="1:12" s="3" customFormat="1" ht="15" x14ac:dyDescent="0.25">
      <c r="A1331" s="18"/>
      <c r="B1331" s="19"/>
      <c r="C1331" s="28"/>
      <c r="D1331" s="21"/>
      <c r="E1331" s="20"/>
      <c r="F1331" s="21"/>
      <c r="G1331" s="20"/>
      <c r="H1331" s="21"/>
      <c r="I1331" s="238"/>
      <c r="J1331" s="168"/>
      <c r="K1331" s="178"/>
      <c r="L1331" s="168"/>
    </row>
    <row r="1332" spans="1:12" x14ac:dyDescent="0.2">
      <c r="A1332" s="5" t="s">
        <v>960</v>
      </c>
      <c r="B1332" s="7" t="s">
        <v>433</v>
      </c>
      <c r="C1332" s="29">
        <f>C1301</f>
        <v>2780646</v>
      </c>
      <c r="D1332" s="37">
        <f t="shared" ref="D1332:G1332" si="557">D1301</f>
        <v>358613.82</v>
      </c>
      <c r="E1332" s="29">
        <f t="shared" si="557"/>
        <v>28851.78</v>
      </c>
      <c r="F1332" s="37">
        <f t="shared" si="557"/>
        <v>1200563.54</v>
      </c>
      <c r="G1332" s="29">
        <f t="shared" si="557"/>
        <v>1551230.6800000002</v>
      </c>
      <c r="H1332" s="11">
        <v>43.17</v>
      </c>
      <c r="I1332" s="240">
        <f>I1301</f>
        <v>1327555</v>
      </c>
      <c r="J1332" s="109">
        <f t="shared" ref="J1332:L1332" si="558">J1301</f>
        <v>4108201</v>
      </c>
      <c r="K1332" s="229">
        <f t="shared" si="558"/>
        <v>3294693.0599999996</v>
      </c>
      <c r="L1332" s="109">
        <f t="shared" si="558"/>
        <v>3492374.6436000001</v>
      </c>
    </row>
    <row r="1333" spans="1:12" x14ac:dyDescent="0.2">
      <c r="A1333" s="5" t="s">
        <v>961</v>
      </c>
      <c r="B1333" s="7" t="s">
        <v>429</v>
      </c>
      <c r="C1333" s="29">
        <f>C1326</f>
        <v>-10910785</v>
      </c>
      <c r="D1333" s="37">
        <f t="shared" ref="D1333:G1333" si="559">D1326</f>
        <v>-396779.43</v>
      </c>
      <c r="E1333" s="29">
        <f t="shared" si="559"/>
        <v>0</v>
      </c>
      <c r="F1333" s="37">
        <f t="shared" si="559"/>
        <v>-2719508.2800000003</v>
      </c>
      <c r="G1333" s="29">
        <f t="shared" si="559"/>
        <v>-8191276.7199999997</v>
      </c>
      <c r="H1333" s="11">
        <v>24.92</v>
      </c>
      <c r="I1333" s="240">
        <f>I1326</f>
        <v>974780.4</v>
      </c>
      <c r="J1333" s="109">
        <f t="shared" ref="J1333:L1333" si="560">J1326</f>
        <v>-9936004.5999999996</v>
      </c>
      <c r="K1333" s="229">
        <f t="shared" si="560"/>
        <v>-10532164.876</v>
      </c>
      <c r="L1333" s="109">
        <f t="shared" si="560"/>
        <v>-11164094.76856</v>
      </c>
    </row>
    <row r="1334" spans="1:12" x14ac:dyDescent="0.2">
      <c r="A1334" s="5"/>
      <c r="B1334" s="7"/>
      <c r="C1334" s="29"/>
      <c r="D1334" s="11"/>
      <c r="E1334" s="9"/>
      <c r="F1334" s="11"/>
      <c r="G1334" s="9"/>
      <c r="H1334" s="11"/>
      <c r="I1334" s="240"/>
      <c r="J1334" s="162"/>
      <c r="K1334" s="169"/>
      <c r="L1334" s="162"/>
    </row>
    <row r="1335" spans="1:12" s="3" customFormat="1" ht="15" x14ac:dyDescent="0.25">
      <c r="A1335" s="18"/>
      <c r="B1335" s="19" t="s">
        <v>435</v>
      </c>
      <c r="C1335" s="28">
        <f>C1332+C1333</f>
        <v>-8130139</v>
      </c>
      <c r="D1335" s="36">
        <f t="shared" ref="D1335:K1335" si="561">D1332+D1333</f>
        <v>-38165.609999999986</v>
      </c>
      <c r="E1335" s="28">
        <f t="shared" si="561"/>
        <v>28851.78</v>
      </c>
      <c r="F1335" s="36">
        <f t="shared" si="561"/>
        <v>-1518944.7400000002</v>
      </c>
      <c r="G1335" s="28">
        <f t="shared" si="561"/>
        <v>-6640046.0399999991</v>
      </c>
      <c r="H1335" s="21">
        <v>18.68</v>
      </c>
      <c r="I1335" s="243">
        <f>I1332+I1333</f>
        <v>2302335.4</v>
      </c>
      <c r="J1335" s="172">
        <f t="shared" si="561"/>
        <v>-5827803.5999999996</v>
      </c>
      <c r="K1335" s="236">
        <f t="shared" si="561"/>
        <v>-7237471.8160000006</v>
      </c>
      <c r="L1335" s="172">
        <f>L1332+L1333</f>
        <v>-7671720.1249599997</v>
      </c>
    </row>
    <row r="1336" spans="1:12" s="3" customFormat="1" ht="15" x14ac:dyDescent="0.25">
      <c r="A1336" s="18"/>
      <c r="B1336" s="19"/>
      <c r="C1336" s="28"/>
      <c r="D1336" s="21"/>
      <c r="E1336" s="20"/>
      <c r="F1336" s="21"/>
      <c r="G1336" s="20"/>
      <c r="H1336" s="21"/>
      <c r="I1336" s="238"/>
      <c r="J1336" s="168"/>
      <c r="K1336" s="178"/>
      <c r="L1336" s="168"/>
    </row>
    <row r="1337" spans="1:12" s="3" customFormat="1" ht="15" x14ac:dyDescent="0.25">
      <c r="A1337" s="18"/>
      <c r="B1337" s="19" t="s">
        <v>436</v>
      </c>
      <c r="C1337" s="28">
        <f>C1335</f>
        <v>-8130139</v>
      </c>
      <c r="D1337" s="36">
        <f t="shared" ref="D1337:G1337" si="562">D1335</f>
        <v>-38165.609999999986</v>
      </c>
      <c r="E1337" s="28">
        <f t="shared" si="562"/>
        <v>28851.78</v>
      </c>
      <c r="F1337" s="36">
        <f t="shared" si="562"/>
        <v>-1518944.7400000002</v>
      </c>
      <c r="G1337" s="28">
        <f t="shared" si="562"/>
        <v>-6640046.0399999991</v>
      </c>
      <c r="H1337" s="21">
        <v>18.68</v>
      </c>
      <c r="I1337" s="243">
        <f t="shared" ref="I1337:L1337" si="563">I1335</f>
        <v>2302335.4</v>
      </c>
      <c r="J1337" s="172">
        <f t="shared" si="563"/>
        <v>-5827803.5999999996</v>
      </c>
      <c r="K1337" s="236">
        <f t="shared" si="563"/>
        <v>-7237471.8160000006</v>
      </c>
      <c r="L1337" s="172">
        <f t="shared" si="563"/>
        <v>-7671720.1249599997</v>
      </c>
    </row>
    <row r="1338" spans="1:12" s="3" customFormat="1" ht="15" x14ac:dyDescent="0.25">
      <c r="A1338" s="18"/>
      <c r="B1338" s="19"/>
      <c r="C1338" s="28"/>
      <c r="D1338" s="21"/>
      <c r="E1338" s="20"/>
      <c r="F1338" s="21"/>
      <c r="G1338" s="20"/>
      <c r="H1338" s="21"/>
      <c r="I1338" s="238"/>
      <c r="J1338" s="168"/>
      <c r="K1338" s="178"/>
      <c r="L1338" s="168"/>
    </row>
    <row r="1339" spans="1:12" s="3" customFormat="1" ht="15" x14ac:dyDescent="0.25">
      <c r="A1339" s="18"/>
      <c r="B1339" s="19" t="s">
        <v>437</v>
      </c>
      <c r="C1339" s="28"/>
      <c r="D1339" s="21"/>
      <c r="E1339" s="20"/>
      <c r="F1339" s="21"/>
      <c r="G1339" s="20"/>
      <c r="H1339" s="21"/>
      <c r="I1339" s="238"/>
      <c r="J1339" s="168"/>
      <c r="K1339" s="178"/>
      <c r="L1339" s="168"/>
    </row>
    <row r="1340" spans="1:12" s="3" customFormat="1" ht="15" x14ac:dyDescent="0.25">
      <c r="A1340" s="18"/>
      <c r="B1340" s="19"/>
      <c r="C1340" s="28"/>
      <c r="D1340" s="21"/>
      <c r="E1340" s="20"/>
      <c r="F1340" s="21"/>
      <c r="G1340" s="20"/>
      <c r="H1340" s="21"/>
      <c r="I1340" s="238"/>
      <c r="J1340" s="168"/>
      <c r="K1340" s="178"/>
      <c r="L1340" s="168"/>
    </row>
    <row r="1341" spans="1:12" s="323" customFormat="1" x14ac:dyDescent="0.2">
      <c r="A1341" s="319" t="s">
        <v>962</v>
      </c>
      <c r="B1341" s="320" t="s">
        <v>451</v>
      </c>
      <c r="C1341" s="321">
        <v>1200000</v>
      </c>
      <c r="D1341" s="322">
        <v>0</v>
      </c>
      <c r="E1341" s="241">
        <v>0</v>
      </c>
      <c r="F1341" s="322">
        <v>0</v>
      </c>
      <c r="G1341" s="241">
        <f t="shared" ref="G1341:G1347" si="564">C1341-E1341-F1341</f>
        <v>1200000</v>
      </c>
      <c r="H1341" s="322">
        <v>0</v>
      </c>
      <c r="I1341" s="240">
        <f>'Tech-Electricity'!I106</f>
        <v>442332</v>
      </c>
      <c r="J1341" s="109">
        <f>C1341+I1341</f>
        <v>1642332</v>
      </c>
      <c r="K1341" s="229">
        <f>'Tech-Electricity'!K106</f>
        <v>1500000</v>
      </c>
      <c r="L1341" s="109">
        <f>'Tech-Electricity'!L106</f>
        <v>1800000</v>
      </c>
    </row>
    <row r="1342" spans="1:12" s="323" customFormat="1" x14ac:dyDescent="0.2">
      <c r="A1342" s="319"/>
      <c r="B1342" s="313" t="s">
        <v>1049</v>
      </c>
      <c r="C1342" s="321"/>
      <c r="D1342" s="322"/>
      <c r="E1342" s="241"/>
      <c r="F1342" s="322"/>
      <c r="G1342" s="241"/>
      <c r="H1342" s="322"/>
      <c r="I1342" s="240">
        <f>'Tech-Electricity'!I107</f>
        <v>0</v>
      </c>
      <c r="J1342" s="109">
        <f t="shared" ref="J1342:J1347" si="565">C1342+I1342</f>
        <v>0</v>
      </c>
      <c r="K1342" s="229">
        <f>'Tech-Electricity'!K107</f>
        <v>0</v>
      </c>
      <c r="L1342" s="109">
        <f>'Tech-Electricity'!L107</f>
        <v>2500000</v>
      </c>
    </row>
    <row r="1343" spans="1:12" s="323" customFormat="1" x14ac:dyDescent="0.2">
      <c r="A1343" s="319"/>
      <c r="B1343" s="313" t="s">
        <v>1088</v>
      </c>
      <c r="C1343" s="321"/>
      <c r="D1343" s="322"/>
      <c r="E1343" s="241"/>
      <c r="F1343" s="322"/>
      <c r="G1343" s="241"/>
      <c r="H1343" s="322"/>
      <c r="I1343" s="240">
        <f>'Tech-Electricity'!I108</f>
        <v>0</v>
      </c>
      <c r="J1343" s="109">
        <f t="shared" si="565"/>
        <v>0</v>
      </c>
      <c r="K1343" s="229">
        <f>'Tech-Electricity'!K108</f>
        <v>550000</v>
      </c>
      <c r="L1343" s="109">
        <f>'Tech-Electricity'!L108</f>
        <v>0</v>
      </c>
    </row>
    <row r="1344" spans="1:12" s="323" customFormat="1" x14ac:dyDescent="0.2">
      <c r="A1344" s="319" t="s">
        <v>963</v>
      </c>
      <c r="B1344" s="320" t="s">
        <v>453</v>
      </c>
      <c r="C1344" s="321">
        <v>700000</v>
      </c>
      <c r="D1344" s="322">
        <v>795760</v>
      </c>
      <c r="E1344" s="241">
        <v>0</v>
      </c>
      <c r="F1344" s="322">
        <v>795760</v>
      </c>
      <c r="G1344" s="241">
        <f t="shared" si="564"/>
        <v>-95760</v>
      </c>
      <c r="H1344" s="322">
        <v>113.68</v>
      </c>
      <c r="I1344" s="240">
        <f>'Tech-Electricity'!I109</f>
        <v>498854.41</v>
      </c>
      <c r="J1344" s="109">
        <f t="shared" si="565"/>
        <v>1198854.4099999999</v>
      </c>
      <c r="K1344" s="229">
        <f>'Tech-Electricity'!K109</f>
        <v>0</v>
      </c>
      <c r="L1344" s="109">
        <f>'Tech-Electricity'!L109</f>
        <v>0</v>
      </c>
    </row>
    <row r="1345" spans="1:12" s="323" customFormat="1" x14ac:dyDescent="0.2">
      <c r="A1345" s="319" t="s">
        <v>964</v>
      </c>
      <c r="B1345" s="320" t="s">
        <v>466</v>
      </c>
      <c r="C1345" s="321">
        <v>1000000</v>
      </c>
      <c r="D1345" s="322">
        <v>0</v>
      </c>
      <c r="E1345" s="241">
        <v>0</v>
      </c>
      <c r="F1345" s="322">
        <v>0</v>
      </c>
      <c r="G1345" s="241">
        <f t="shared" si="564"/>
        <v>1000000</v>
      </c>
      <c r="H1345" s="322">
        <v>0</v>
      </c>
      <c r="I1345" s="240">
        <f>'Tech-Electricity'!I110</f>
        <v>-1000000</v>
      </c>
      <c r="J1345" s="109">
        <f t="shared" si="565"/>
        <v>0</v>
      </c>
      <c r="K1345" s="229">
        <v>0</v>
      </c>
      <c r="L1345" s="109">
        <v>0</v>
      </c>
    </row>
    <row r="1346" spans="1:12" x14ac:dyDescent="0.2">
      <c r="A1346" s="5"/>
      <c r="B1346" s="111" t="s">
        <v>1089</v>
      </c>
      <c r="C1346" s="29"/>
      <c r="D1346" s="11"/>
      <c r="E1346" s="9"/>
      <c r="F1346" s="11"/>
      <c r="G1346" s="9"/>
      <c r="H1346" s="11"/>
      <c r="I1346" s="240">
        <f>'Tech-Electricity'!I111</f>
        <v>0</v>
      </c>
      <c r="J1346" s="109">
        <f t="shared" si="565"/>
        <v>0</v>
      </c>
      <c r="K1346" s="229">
        <f>'Tech-Electricity'!K111</f>
        <v>1800000</v>
      </c>
      <c r="L1346" s="109">
        <f>'Tech-Electricity'!L111</f>
        <v>0</v>
      </c>
    </row>
    <row r="1347" spans="1:12" x14ac:dyDescent="0.2">
      <c r="A1347" s="5" t="s">
        <v>965</v>
      </c>
      <c r="B1347" s="7" t="s">
        <v>468</v>
      </c>
      <c r="C1347" s="29">
        <v>500000</v>
      </c>
      <c r="D1347" s="11">
        <v>0</v>
      </c>
      <c r="E1347" s="9">
        <v>0</v>
      </c>
      <c r="F1347" s="11">
        <v>0</v>
      </c>
      <c r="G1347" s="9">
        <f t="shared" si="564"/>
        <v>500000</v>
      </c>
      <c r="H1347" s="11">
        <v>0</v>
      </c>
      <c r="I1347" s="240">
        <f>'Tech-Electricity'!I112</f>
        <v>0</v>
      </c>
      <c r="J1347" s="109">
        <f t="shared" si="565"/>
        <v>500000</v>
      </c>
      <c r="K1347" s="229">
        <f>'Tech-Electricity'!K112</f>
        <v>200000</v>
      </c>
      <c r="L1347" s="109">
        <f>'Tech-Electricity'!L112</f>
        <v>0</v>
      </c>
    </row>
    <row r="1348" spans="1:12" x14ac:dyDescent="0.2">
      <c r="A1348" s="5"/>
      <c r="B1348" s="7"/>
      <c r="C1348" s="29"/>
      <c r="D1348" s="11"/>
      <c r="E1348" s="9"/>
      <c r="F1348" s="11"/>
      <c r="G1348" s="9"/>
      <c r="H1348" s="11"/>
      <c r="I1348" s="240"/>
      <c r="J1348" s="162"/>
      <c r="K1348" s="169"/>
      <c r="L1348" s="162"/>
    </row>
    <row r="1349" spans="1:12" s="3" customFormat="1" ht="15" x14ac:dyDescent="0.25">
      <c r="A1349" s="18"/>
      <c r="B1349" s="19" t="s">
        <v>471</v>
      </c>
      <c r="C1349" s="28">
        <f>SUM(C1341:C1348)</f>
        <v>3400000</v>
      </c>
      <c r="D1349" s="36">
        <f t="shared" ref="D1349:G1349" si="566">SUM(D1341:D1348)</f>
        <v>795760</v>
      </c>
      <c r="E1349" s="28">
        <f t="shared" si="566"/>
        <v>0</v>
      </c>
      <c r="F1349" s="36">
        <f t="shared" si="566"/>
        <v>795760</v>
      </c>
      <c r="G1349" s="28">
        <f t="shared" si="566"/>
        <v>2604240</v>
      </c>
      <c r="H1349" s="21">
        <v>23.4</v>
      </c>
      <c r="I1349" s="243">
        <f t="shared" ref="I1349" si="567">SUM(I1341:I1348)</f>
        <v>-58813.590000000084</v>
      </c>
      <c r="J1349" s="172">
        <f t="shared" ref="J1349" si="568">SUM(J1341:J1348)</f>
        <v>3341186.41</v>
      </c>
      <c r="K1349" s="236">
        <f t="shared" ref="K1349" si="569">SUM(K1341:K1348)</f>
        <v>4050000</v>
      </c>
      <c r="L1349" s="172">
        <f t="shared" ref="L1349" si="570">SUM(L1341:L1348)</f>
        <v>4300000</v>
      </c>
    </row>
    <row r="1350" spans="1:12" x14ac:dyDescent="0.2">
      <c r="A1350" s="5"/>
      <c r="B1350" s="7"/>
      <c r="C1350" s="29"/>
      <c r="D1350" s="11"/>
      <c r="E1350" s="9"/>
      <c r="F1350" s="11"/>
      <c r="G1350" s="9"/>
      <c r="H1350" s="11"/>
      <c r="I1350" s="240"/>
      <c r="J1350" s="162"/>
      <c r="K1350" s="169"/>
      <c r="L1350" s="162"/>
    </row>
    <row r="1351" spans="1:12" s="3" customFormat="1" ht="15" x14ac:dyDescent="0.25">
      <c r="A1351" s="18"/>
      <c r="B1351" s="19" t="s">
        <v>472</v>
      </c>
      <c r="C1351" s="28">
        <f>C1349</f>
        <v>3400000</v>
      </c>
      <c r="D1351" s="36">
        <f t="shared" ref="D1351:G1351" si="571">D1349</f>
        <v>795760</v>
      </c>
      <c r="E1351" s="28">
        <f t="shared" si="571"/>
        <v>0</v>
      </c>
      <c r="F1351" s="36">
        <f t="shared" si="571"/>
        <v>795760</v>
      </c>
      <c r="G1351" s="28">
        <f t="shared" si="571"/>
        <v>2604240</v>
      </c>
      <c r="H1351" s="21">
        <v>23.4</v>
      </c>
      <c r="I1351" s="243">
        <f t="shared" ref="I1351:L1351" si="572">I1349</f>
        <v>-58813.590000000084</v>
      </c>
      <c r="J1351" s="172">
        <f t="shared" si="572"/>
        <v>3341186.41</v>
      </c>
      <c r="K1351" s="236">
        <f t="shared" si="572"/>
        <v>4050000</v>
      </c>
      <c r="L1351" s="172">
        <f t="shared" si="572"/>
        <v>4300000</v>
      </c>
    </row>
    <row r="1352" spans="1:12" s="3" customFormat="1" ht="15" x14ac:dyDescent="0.25">
      <c r="A1352" s="18"/>
      <c r="B1352" s="19"/>
      <c r="C1352" s="28"/>
      <c r="D1352" s="21"/>
      <c r="E1352" s="20"/>
      <c r="F1352" s="21"/>
      <c r="G1352" s="20"/>
      <c r="H1352" s="21"/>
      <c r="I1352" s="238"/>
      <c r="J1352" s="168"/>
      <c r="K1352" s="178"/>
      <c r="L1352" s="168"/>
    </row>
    <row r="1353" spans="1:12" x14ac:dyDescent="0.2">
      <c r="A1353" s="5"/>
      <c r="B1353" s="7"/>
      <c r="C1353" s="29"/>
      <c r="D1353" s="11"/>
      <c r="E1353" s="9"/>
      <c r="F1353" s="11"/>
      <c r="G1353" s="9"/>
      <c r="H1353" s="11"/>
      <c r="I1353" s="240"/>
      <c r="J1353" s="162"/>
      <c r="K1353" s="169"/>
      <c r="L1353" s="162"/>
    </row>
    <row r="1354" spans="1:12" s="3" customFormat="1" ht="15" x14ac:dyDescent="0.25">
      <c r="A1354" s="18"/>
      <c r="B1354" s="19" t="s">
        <v>966</v>
      </c>
      <c r="C1354" s="28"/>
      <c r="D1354" s="21"/>
      <c r="E1354" s="20"/>
      <c r="F1354" s="21"/>
      <c r="G1354" s="20"/>
      <c r="H1354" s="21"/>
      <c r="I1354" s="238"/>
      <c r="J1354" s="168"/>
      <c r="K1354" s="178"/>
      <c r="L1354" s="168"/>
    </row>
    <row r="1355" spans="1:12" s="3" customFormat="1" ht="15" x14ac:dyDescent="0.25">
      <c r="A1355" s="18"/>
      <c r="B1355" s="19"/>
      <c r="C1355" s="28"/>
      <c r="D1355" s="21"/>
      <c r="E1355" s="20"/>
      <c r="F1355" s="21"/>
      <c r="G1355" s="20"/>
      <c r="H1355" s="21"/>
      <c r="I1355" s="238"/>
      <c r="J1355" s="168"/>
      <c r="K1355" s="178"/>
      <c r="L1355" s="168"/>
    </row>
    <row r="1356" spans="1:12" s="3" customFormat="1" ht="15" x14ac:dyDescent="0.25">
      <c r="A1356" s="18"/>
      <c r="B1356" s="19" t="s">
        <v>9</v>
      </c>
      <c r="C1356" s="28"/>
      <c r="D1356" s="21"/>
      <c r="E1356" s="20"/>
      <c r="F1356" s="21"/>
      <c r="G1356" s="20"/>
      <c r="H1356" s="21"/>
      <c r="I1356" s="238"/>
      <c r="J1356" s="168"/>
      <c r="K1356" s="178"/>
      <c r="L1356" s="168"/>
    </row>
    <row r="1357" spans="1:12" s="3" customFormat="1" ht="15" x14ac:dyDescent="0.25">
      <c r="A1357" s="18"/>
      <c r="B1357" s="19"/>
      <c r="C1357" s="28"/>
      <c r="D1357" s="21"/>
      <c r="E1357" s="20"/>
      <c r="F1357" s="21"/>
      <c r="G1357" s="20"/>
      <c r="H1357" s="21"/>
      <c r="I1357" s="238"/>
      <c r="J1357" s="168"/>
      <c r="K1357" s="178"/>
      <c r="L1357" s="168"/>
    </row>
    <row r="1358" spans="1:12" s="3" customFormat="1" ht="15" x14ac:dyDescent="0.25">
      <c r="A1358" s="18"/>
      <c r="B1358" s="19" t="s">
        <v>10</v>
      </c>
      <c r="C1358" s="28"/>
      <c r="D1358" s="21"/>
      <c r="E1358" s="20"/>
      <c r="F1358" s="21"/>
      <c r="G1358" s="20"/>
      <c r="H1358" s="21"/>
      <c r="I1358" s="238"/>
      <c r="J1358" s="168"/>
      <c r="K1358" s="178"/>
      <c r="L1358" s="168"/>
    </row>
    <row r="1359" spans="1:12" s="3" customFormat="1" ht="15" x14ac:dyDescent="0.25">
      <c r="A1359" s="18"/>
      <c r="B1359" s="19"/>
      <c r="C1359" s="28"/>
      <c r="D1359" s="21"/>
      <c r="E1359" s="20"/>
      <c r="F1359" s="21"/>
      <c r="G1359" s="20"/>
      <c r="H1359" s="21"/>
      <c r="I1359" s="238"/>
      <c r="J1359" s="168"/>
      <c r="K1359" s="178"/>
      <c r="L1359" s="168"/>
    </row>
    <row r="1360" spans="1:12" s="3" customFormat="1" ht="15" x14ac:dyDescent="0.25">
      <c r="A1360" s="18"/>
      <c r="B1360" s="19" t="s">
        <v>11</v>
      </c>
      <c r="C1360" s="28"/>
      <c r="D1360" s="21"/>
      <c r="E1360" s="20"/>
      <c r="F1360" s="21"/>
      <c r="G1360" s="20"/>
      <c r="H1360" s="21"/>
      <c r="I1360" s="238"/>
      <c r="J1360" s="168"/>
      <c r="K1360" s="178"/>
      <c r="L1360" s="168"/>
    </row>
    <row r="1361" spans="1:12" s="3" customFormat="1" ht="15" x14ac:dyDescent="0.25">
      <c r="A1361" s="18"/>
      <c r="B1361" s="19"/>
      <c r="C1361" s="28"/>
      <c r="D1361" s="21"/>
      <c r="E1361" s="20"/>
      <c r="F1361" s="21"/>
      <c r="G1361" s="20"/>
      <c r="H1361" s="21"/>
      <c r="I1361" s="238"/>
      <c r="J1361" s="168"/>
      <c r="K1361" s="178"/>
      <c r="L1361" s="168"/>
    </row>
    <row r="1362" spans="1:12" x14ac:dyDescent="0.2">
      <c r="A1362" s="5" t="s">
        <v>967</v>
      </c>
      <c r="B1362" s="7" t="s">
        <v>13</v>
      </c>
      <c r="C1362" s="29">
        <v>349426</v>
      </c>
      <c r="D1362" s="11">
        <v>11964.55</v>
      </c>
      <c r="E1362" s="9">
        <v>0</v>
      </c>
      <c r="F1362" s="11">
        <v>31527.05</v>
      </c>
      <c r="G1362" s="9">
        <f t="shared" ref="G1362:G1377" si="573">C1362-E1362-F1362</f>
        <v>317898.95</v>
      </c>
      <c r="H1362" s="11">
        <v>9.02</v>
      </c>
      <c r="I1362" s="240">
        <f>'Tech-Water'!I10</f>
        <v>0</v>
      </c>
      <c r="J1362" s="109">
        <f>'Tech-Water'!J10</f>
        <v>349426</v>
      </c>
      <c r="K1362" s="229">
        <f>'Tech-Water'!K10</f>
        <v>370391.56</v>
      </c>
      <c r="L1362" s="109">
        <f>'Tech-Water'!L10</f>
        <v>407430.71600000001</v>
      </c>
    </row>
    <row r="1363" spans="1:12" x14ac:dyDescent="0.2">
      <c r="A1363" s="5" t="s">
        <v>968</v>
      </c>
      <c r="B1363" s="7" t="s">
        <v>15</v>
      </c>
      <c r="C1363" s="29">
        <v>0</v>
      </c>
      <c r="D1363" s="11">
        <v>0</v>
      </c>
      <c r="E1363" s="9">
        <v>0</v>
      </c>
      <c r="F1363" s="11">
        <v>0</v>
      </c>
      <c r="G1363" s="9">
        <f t="shared" si="573"/>
        <v>0</v>
      </c>
      <c r="H1363" s="11">
        <v>0</v>
      </c>
      <c r="I1363" s="240">
        <f>'Tech-Water'!I11</f>
        <v>0</v>
      </c>
      <c r="J1363" s="162">
        <f t="shared" ref="J1363:J1377" si="574">C1363+I1363</f>
        <v>0</v>
      </c>
      <c r="K1363" s="229">
        <f>'Tech-Water'!K11</f>
        <v>0</v>
      </c>
      <c r="L1363" s="109">
        <f>'Tech-Water'!L11</f>
        <v>0</v>
      </c>
    </row>
    <row r="1364" spans="1:12" x14ac:dyDescent="0.2">
      <c r="A1364" s="5" t="s">
        <v>969</v>
      </c>
      <c r="B1364" s="7" t="s">
        <v>17</v>
      </c>
      <c r="C1364" s="29">
        <v>0</v>
      </c>
      <c r="D1364" s="11">
        <v>0</v>
      </c>
      <c r="E1364" s="9">
        <v>0</v>
      </c>
      <c r="F1364" s="11">
        <v>0</v>
      </c>
      <c r="G1364" s="9">
        <f t="shared" si="573"/>
        <v>0</v>
      </c>
      <c r="H1364" s="11">
        <v>0</v>
      </c>
      <c r="I1364" s="240">
        <f>'Tech-Water'!I12</f>
        <v>0</v>
      </c>
      <c r="J1364" s="162">
        <f t="shared" si="574"/>
        <v>0</v>
      </c>
      <c r="K1364" s="229">
        <f>'Tech-Water'!K12</f>
        <v>0</v>
      </c>
      <c r="L1364" s="109">
        <f>'Tech-Water'!L12</f>
        <v>0</v>
      </c>
    </row>
    <row r="1365" spans="1:12" x14ac:dyDescent="0.2">
      <c r="A1365" s="5" t="s">
        <v>970</v>
      </c>
      <c r="B1365" s="7" t="s">
        <v>19</v>
      </c>
      <c r="C1365" s="29">
        <v>10000</v>
      </c>
      <c r="D1365" s="11">
        <v>4476.46</v>
      </c>
      <c r="E1365" s="9">
        <v>0</v>
      </c>
      <c r="F1365" s="11">
        <v>6503.75</v>
      </c>
      <c r="G1365" s="9">
        <f t="shared" si="573"/>
        <v>3496.25</v>
      </c>
      <c r="H1365" s="11">
        <v>65.03</v>
      </c>
      <c r="I1365" s="240">
        <f>'Tech-Water'!I13</f>
        <v>10000</v>
      </c>
      <c r="J1365" s="162">
        <f t="shared" si="574"/>
        <v>20000</v>
      </c>
      <c r="K1365" s="229">
        <f>'Tech-Water'!K13</f>
        <v>21200</v>
      </c>
      <c r="L1365" s="109">
        <f>'Tech-Water'!L13</f>
        <v>23320</v>
      </c>
    </row>
    <row r="1366" spans="1:12" x14ac:dyDescent="0.2">
      <c r="A1366" s="5" t="s">
        <v>971</v>
      </c>
      <c r="B1366" s="7" t="s">
        <v>21</v>
      </c>
      <c r="C1366" s="29">
        <v>200000</v>
      </c>
      <c r="D1366" s="11">
        <v>24001.919999999998</v>
      </c>
      <c r="E1366" s="9">
        <v>0</v>
      </c>
      <c r="F1366" s="11">
        <v>116892.34</v>
      </c>
      <c r="G1366" s="9">
        <f t="shared" si="573"/>
        <v>83107.66</v>
      </c>
      <c r="H1366" s="11">
        <v>58.44</v>
      </c>
      <c r="I1366" s="240">
        <f>'Tech-Water'!I14</f>
        <v>50000</v>
      </c>
      <c r="J1366" s="162">
        <f t="shared" si="574"/>
        <v>250000</v>
      </c>
      <c r="K1366" s="229">
        <f>'Tech-Water'!K14</f>
        <v>265000</v>
      </c>
      <c r="L1366" s="109">
        <f>'Tech-Water'!L14</f>
        <v>291500</v>
      </c>
    </row>
    <row r="1367" spans="1:12" x14ac:dyDescent="0.2">
      <c r="A1367" s="5" t="s">
        <v>972</v>
      </c>
      <c r="B1367" s="7" t="s">
        <v>22</v>
      </c>
      <c r="C1367" s="29">
        <v>0</v>
      </c>
      <c r="D1367" s="11">
        <v>0</v>
      </c>
      <c r="E1367" s="9">
        <v>0</v>
      </c>
      <c r="F1367" s="11">
        <v>0</v>
      </c>
      <c r="G1367" s="9">
        <f t="shared" si="573"/>
        <v>0</v>
      </c>
      <c r="H1367" s="11">
        <v>0</v>
      </c>
      <c r="I1367" s="240">
        <f>'Tech-Water'!I15</f>
        <v>0</v>
      </c>
      <c r="J1367" s="162">
        <f t="shared" si="574"/>
        <v>0</v>
      </c>
      <c r="K1367" s="229">
        <f>'Tech-Water'!K15</f>
        <v>0</v>
      </c>
      <c r="L1367" s="109">
        <f>'Tech-Water'!L15</f>
        <v>0</v>
      </c>
    </row>
    <row r="1368" spans="1:12" x14ac:dyDescent="0.2">
      <c r="A1368" s="5" t="s">
        <v>973</v>
      </c>
      <c r="B1368" s="7" t="s">
        <v>24</v>
      </c>
      <c r="C1368" s="29">
        <v>27408</v>
      </c>
      <c r="D1368" s="11">
        <v>1175</v>
      </c>
      <c r="E1368" s="9">
        <v>0</v>
      </c>
      <c r="F1368" s="11">
        <v>5875</v>
      </c>
      <c r="G1368" s="9">
        <f t="shared" si="573"/>
        <v>21533</v>
      </c>
      <c r="H1368" s="11">
        <v>21.43</v>
      </c>
      <c r="I1368" s="240">
        <f>'Tech-Water'!I16</f>
        <v>0</v>
      </c>
      <c r="J1368" s="162">
        <f t="shared" si="574"/>
        <v>27408</v>
      </c>
      <c r="K1368" s="229">
        <f>'Tech-Water'!K16</f>
        <v>29052.48</v>
      </c>
      <c r="L1368" s="109">
        <f>'Tech-Water'!L16</f>
        <v>31957.727999999999</v>
      </c>
    </row>
    <row r="1369" spans="1:12" x14ac:dyDescent="0.2">
      <c r="A1369" s="5" t="s">
        <v>974</v>
      </c>
      <c r="B1369" s="7" t="s">
        <v>26</v>
      </c>
      <c r="C1369" s="29">
        <v>0</v>
      </c>
      <c r="D1369" s="11">
        <v>0</v>
      </c>
      <c r="E1369" s="9">
        <v>0</v>
      </c>
      <c r="F1369" s="11">
        <v>0</v>
      </c>
      <c r="G1369" s="9">
        <f t="shared" si="573"/>
        <v>0</v>
      </c>
      <c r="H1369" s="11">
        <v>0</v>
      </c>
      <c r="I1369" s="240">
        <f>'Tech-Water'!I17</f>
        <v>0</v>
      </c>
      <c r="J1369" s="162">
        <f t="shared" si="574"/>
        <v>0</v>
      </c>
      <c r="K1369" s="229">
        <f>'Tech-Water'!K17</f>
        <v>0</v>
      </c>
      <c r="L1369" s="109">
        <f>'Tech-Water'!L17</f>
        <v>0</v>
      </c>
    </row>
    <row r="1370" spans="1:12" x14ac:dyDescent="0.2">
      <c r="A1370" s="5" t="s">
        <v>975</v>
      </c>
      <c r="B1370" s="7" t="s">
        <v>28</v>
      </c>
      <c r="C1370" s="29">
        <v>0</v>
      </c>
      <c r="D1370" s="11">
        <v>0</v>
      </c>
      <c r="E1370" s="9">
        <v>0</v>
      </c>
      <c r="F1370" s="11">
        <v>0</v>
      </c>
      <c r="G1370" s="9">
        <f t="shared" si="573"/>
        <v>0</v>
      </c>
      <c r="H1370" s="11">
        <v>0</v>
      </c>
      <c r="I1370" s="240">
        <f>'Tech-Water'!I18</f>
        <v>0</v>
      </c>
      <c r="J1370" s="162">
        <f t="shared" si="574"/>
        <v>0</v>
      </c>
      <c r="K1370" s="229">
        <f>'Tech-Water'!K18</f>
        <v>0</v>
      </c>
      <c r="L1370" s="109">
        <f>'Tech-Water'!L18</f>
        <v>0</v>
      </c>
    </row>
    <row r="1371" spans="1:12" x14ac:dyDescent="0.2">
      <c r="A1371" s="5" t="s">
        <v>976</v>
      </c>
      <c r="B1371" s="7" t="s">
        <v>30</v>
      </c>
      <c r="C1371" s="29">
        <v>15000</v>
      </c>
      <c r="D1371" s="11">
        <v>0</v>
      </c>
      <c r="E1371" s="9">
        <v>0</v>
      </c>
      <c r="F1371" s="11">
        <v>0</v>
      </c>
      <c r="G1371" s="9">
        <f t="shared" si="573"/>
        <v>15000</v>
      </c>
      <c r="H1371" s="11">
        <v>0</v>
      </c>
      <c r="I1371" s="240">
        <f>'Tech-Water'!I19</f>
        <v>0</v>
      </c>
      <c r="J1371" s="162">
        <f t="shared" si="574"/>
        <v>15000</v>
      </c>
      <c r="K1371" s="229">
        <f>'Tech-Water'!K19</f>
        <v>0</v>
      </c>
      <c r="L1371" s="109">
        <f>'Tech-Water'!L19</f>
        <v>0</v>
      </c>
    </row>
    <row r="1372" spans="1:12" x14ac:dyDescent="0.2">
      <c r="A1372" s="5" t="s">
        <v>977</v>
      </c>
      <c r="B1372" s="7" t="s">
        <v>32</v>
      </c>
      <c r="C1372" s="29">
        <v>4193109</v>
      </c>
      <c r="D1372" s="11">
        <v>316684.21999999997</v>
      </c>
      <c r="E1372" s="9">
        <v>0</v>
      </c>
      <c r="F1372" s="11">
        <v>1899167.04</v>
      </c>
      <c r="G1372" s="9">
        <f t="shared" si="573"/>
        <v>2293941.96</v>
      </c>
      <c r="H1372" s="11">
        <v>45.29</v>
      </c>
      <c r="I1372" s="240">
        <f>'Tech-Water'!I20</f>
        <v>0</v>
      </c>
      <c r="J1372" s="162">
        <f t="shared" si="574"/>
        <v>4193109</v>
      </c>
      <c r="K1372" s="229">
        <f>'Tech-Water'!K20</f>
        <v>4444695.54</v>
      </c>
      <c r="L1372" s="109">
        <f>'Tech-Water'!L20</f>
        <v>4889165.0940000005</v>
      </c>
    </row>
    <row r="1373" spans="1:12" x14ac:dyDescent="0.2">
      <c r="A1373" s="5" t="s">
        <v>978</v>
      </c>
      <c r="B1373" s="7" t="s">
        <v>34</v>
      </c>
      <c r="C1373" s="29">
        <v>0</v>
      </c>
      <c r="D1373" s="11">
        <v>0</v>
      </c>
      <c r="E1373" s="9">
        <v>0</v>
      </c>
      <c r="F1373" s="11">
        <v>0</v>
      </c>
      <c r="G1373" s="9">
        <f t="shared" si="573"/>
        <v>0</v>
      </c>
      <c r="H1373" s="11">
        <v>0</v>
      </c>
      <c r="I1373" s="240">
        <f>'Tech-Water'!I21</f>
        <v>0</v>
      </c>
      <c r="J1373" s="162">
        <f t="shared" si="574"/>
        <v>0</v>
      </c>
      <c r="K1373" s="229">
        <f>'Tech-Water'!K21</f>
        <v>0</v>
      </c>
      <c r="L1373" s="109">
        <f>'Tech-Water'!L21</f>
        <v>0</v>
      </c>
    </row>
    <row r="1374" spans="1:12" x14ac:dyDescent="0.2">
      <c r="A1374" s="5" t="s">
        <v>979</v>
      </c>
      <c r="B1374" s="7" t="s">
        <v>36</v>
      </c>
      <c r="C1374" s="29">
        <v>136344</v>
      </c>
      <c r="D1374" s="11">
        <v>11634.51</v>
      </c>
      <c r="E1374" s="9">
        <v>0</v>
      </c>
      <c r="F1374" s="11">
        <v>69807.06</v>
      </c>
      <c r="G1374" s="9">
        <f t="shared" si="573"/>
        <v>66536.94</v>
      </c>
      <c r="H1374" s="11">
        <v>51.19</v>
      </c>
      <c r="I1374" s="240">
        <f>'Tech-Water'!I22</f>
        <v>0</v>
      </c>
      <c r="J1374" s="162">
        <f t="shared" si="574"/>
        <v>136344</v>
      </c>
      <c r="K1374" s="229">
        <f>'Tech-Water'!K22</f>
        <v>144524.64000000001</v>
      </c>
      <c r="L1374" s="109">
        <f>'Tech-Water'!L22</f>
        <v>158977.10400000002</v>
      </c>
    </row>
    <row r="1375" spans="1:12" x14ac:dyDescent="0.2">
      <c r="A1375" s="5" t="s">
        <v>980</v>
      </c>
      <c r="B1375" s="7" t="s">
        <v>44</v>
      </c>
      <c r="C1375" s="29">
        <v>0</v>
      </c>
      <c r="D1375" s="11">
        <v>0</v>
      </c>
      <c r="E1375" s="9">
        <v>0</v>
      </c>
      <c r="F1375" s="11">
        <v>15563.83</v>
      </c>
      <c r="G1375" s="9">
        <f t="shared" si="573"/>
        <v>-15563.83</v>
      </c>
      <c r="H1375" s="11">
        <v>0</v>
      </c>
      <c r="I1375" s="240">
        <f>'Tech-Water'!I23</f>
        <v>0</v>
      </c>
      <c r="J1375" s="162">
        <f t="shared" si="574"/>
        <v>0</v>
      </c>
      <c r="K1375" s="229">
        <f>'Tech-Water'!K23</f>
        <v>0</v>
      </c>
      <c r="L1375" s="109">
        <f>'Tech-Water'!L23</f>
        <v>0</v>
      </c>
    </row>
    <row r="1376" spans="1:12" x14ac:dyDescent="0.2">
      <c r="A1376" s="5" t="s">
        <v>981</v>
      </c>
      <c r="B1376" s="7" t="s">
        <v>46</v>
      </c>
      <c r="C1376" s="29">
        <v>0</v>
      </c>
      <c r="D1376" s="11">
        <v>0</v>
      </c>
      <c r="E1376" s="9">
        <v>0</v>
      </c>
      <c r="F1376" s="11">
        <v>0</v>
      </c>
      <c r="G1376" s="9">
        <f t="shared" si="573"/>
        <v>0</v>
      </c>
      <c r="H1376" s="11">
        <v>0</v>
      </c>
      <c r="I1376" s="240">
        <f>'Tech-Water'!I24</f>
        <v>0</v>
      </c>
      <c r="J1376" s="162">
        <f t="shared" si="574"/>
        <v>0</v>
      </c>
      <c r="K1376" s="229">
        <f>'Tech-Water'!K24</f>
        <v>0</v>
      </c>
      <c r="L1376" s="109">
        <f>'Tech-Water'!L24</f>
        <v>0</v>
      </c>
    </row>
    <row r="1377" spans="1:12" x14ac:dyDescent="0.2">
      <c r="A1377" s="5" t="s">
        <v>982</v>
      </c>
      <c r="B1377" s="7" t="s">
        <v>48</v>
      </c>
      <c r="C1377" s="29">
        <v>0</v>
      </c>
      <c r="D1377" s="11">
        <v>0</v>
      </c>
      <c r="E1377" s="9">
        <v>0</v>
      </c>
      <c r="F1377" s="11">
        <v>0</v>
      </c>
      <c r="G1377" s="9">
        <f t="shared" si="573"/>
        <v>0</v>
      </c>
      <c r="H1377" s="11">
        <v>0</v>
      </c>
      <c r="I1377" s="240">
        <f>'Tech-Water'!I25</f>
        <v>0</v>
      </c>
      <c r="J1377" s="162">
        <f t="shared" si="574"/>
        <v>0</v>
      </c>
      <c r="K1377" s="229">
        <f>'Tech-Water'!K25</f>
        <v>0</v>
      </c>
      <c r="L1377" s="109">
        <f>'Tech-Water'!L25</f>
        <v>0</v>
      </c>
    </row>
    <row r="1378" spans="1:12" x14ac:dyDescent="0.2">
      <c r="A1378" s="5"/>
      <c r="B1378" s="7"/>
      <c r="C1378" s="29"/>
      <c r="D1378" s="11"/>
      <c r="E1378" s="9"/>
      <c r="F1378" s="11"/>
      <c r="G1378" s="9"/>
      <c r="H1378" s="11"/>
      <c r="I1378" s="240"/>
      <c r="J1378" s="162"/>
      <c r="K1378" s="169"/>
      <c r="L1378" s="162"/>
    </row>
    <row r="1379" spans="1:12" s="3" customFormat="1" ht="15" x14ac:dyDescent="0.25">
      <c r="A1379" s="18"/>
      <c r="B1379" s="19" t="s">
        <v>49</v>
      </c>
      <c r="C1379" s="28">
        <f>SUM(C1362:C1378)</f>
        <v>4931287</v>
      </c>
      <c r="D1379" s="36">
        <f t="shared" ref="D1379:G1379" si="575">SUM(D1362:D1378)</f>
        <v>369936.66</v>
      </c>
      <c r="E1379" s="28">
        <f t="shared" si="575"/>
        <v>0</v>
      </c>
      <c r="F1379" s="36">
        <f t="shared" si="575"/>
        <v>2145336.0700000003</v>
      </c>
      <c r="G1379" s="28">
        <f t="shared" si="575"/>
        <v>2785950.9299999997</v>
      </c>
      <c r="H1379" s="21">
        <v>43.5</v>
      </c>
      <c r="I1379" s="243">
        <f t="shared" ref="I1379" si="576">SUM(I1362:I1378)</f>
        <v>60000</v>
      </c>
      <c r="J1379" s="172">
        <f t="shared" ref="J1379" si="577">SUM(J1362:J1378)</f>
        <v>4991287</v>
      </c>
      <c r="K1379" s="236">
        <f t="shared" ref="K1379" si="578">SUM(K1362:K1378)</f>
        <v>5274864.22</v>
      </c>
      <c r="L1379" s="172">
        <f t="shared" ref="L1379" si="579">SUM(L1362:L1378)</f>
        <v>5802350.6420000009</v>
      </c>
    </row>
    <row r="1380" spans="1:12" s="3" customFormat="1" ht="15" x14ac:dyDescent="0.25">
      <c r="A1380" s="18"/>
      <c r="B1380" s="19"/>
      <c r="C1380" s="28"/>
      <c r="D1380" s="21"/>
      <c r="E1380" s="20"/>
      <c r="F1380" s="21"/>
      <c r="G1380" s="20"/>
      <c r="H1380" s="21"/>
      <c r="I1380" s="238"/>
      <c r="J1380" s="168"/>
      <c r="K1380" s="178"/>
      <c r="L1380" s="168"/>
    </row>
    <row r="1381" spans="1:12" s="3" customFormat="1" ht="15" x14ac:dyDescent="0.25">
      <c r="A1381" s="18"/>
      <c r="B1381" s="19" t="s">
        <v>50</v>
      </c>
      <c r="C1381" s="28"/>
      <c r="D1381" s="21"/>
      <c r="E1381" s="20"/>
      <c r="F1381" s="21"/>
      <c r="G1381" s="20"/>
      <c r="H1381" s="21"/>
      <c r="I1381" s="238"/>
      <c r="J1381" s="168"/>
      <c r="K1381" s="178"/>
      <c r="L1381" s="168"/>
    </row>
    <row r="1382" spans="1:12" x14ac:dyDescent="0.2">
      <c r="A1382" s="5"/>
      <c r="B1382" s="7"/>
      <c r="C1382" s="29"/>
      <c r="D1382" s="11"/>
      <c r="E1382" s="9"/>
      <c r="F1382" s="11"/>
      <c r="G1382" s="9"/>
      <c r="H1382" s="11"/>
      <c r="I1382" s="240"/>
      <c r="J1382" s="162"/>
      <c r="K1382" s="169"/>
      <c r="L1382" s="162"/>
    </row>
    <row r="1383" spans="1:12" x14ac:dyDescent="0.2">
      <c r="A1383" s="5" t="s">
        <v>983</v>
      </c>
      <c r="B1383" s="7" t="s">
        <v>53</v>
      </c>
      <c r="C1383" s="29">
        <v>1905</v>
      </c>
      <c r="D1383" s="11">
        <v>152.25</v>
      </c>
      <c r="E1383" s="9">
        <v>0</v>
      </c>
      <c r="F1383" s="11">
        <v>913.5</v>
      </c>
      <c r="G1383" s="9">
        <f t="shared" ref="G1383:G1388" si="580">C1383-E1383-F1383</f>
        <v>991.5</v>
      </c>
      <c r="H1383" s="11">
        <v>47.95</v>
      </c>
      <c r="I1383" s="240">
        <f>'Tech-Water'!I31</f>
        <v>0</v>
      </c>
      <c r="J1383" s="109">
        <f>'Tech-Water'!J31</f>
        <v>1905</v>
      </c>
      <c r="K1383" s="229">
        <f>'Tech-Water'!K31</f>
        <v>2019.3</v>
      </c>
      <c r="L1383" s="109">
        <f>'Tech-Water'!L31</f>
        <v>2221.23</v>
      </c>
    </row>
    <row r="1384" spans="1:12" x14ac:dyDescent="0.2">
      <c r="A1384" s="5" t="s">
        <v>984</v>
      </c>
      <c r="B1384" s="7" t="s">
        <v>55</v>
      </c>
      <c r="C1384" s="29">
        <v>36279</v>
      </c>
      <c r="D1384" s="11">
        <v>2943.56</v>
      </c>
      <c r="E1384" s="9">
        <v>0</v>
      </c>
      <c r="F1384" s="11">
        <v>17602.080000000002</v>
      </c>
      <c r="G1384" s="9">
        <f t="shared" si="580"/>
        <v>18676.919999999998</v>
      </c>
      <c r="H1384" s="11">
        <v>48.51</v>
      </c>
      <c r="I1384" s="240">
        <f>'Tech-Water'!I32</f>
        <v>0</v>
      </c>
      <c r="J1384" s="162">
        <f t="shared" ref="J1384:J1388" si="581">C1384+I1384</f>
        <v>36279</v>
      </c>
      <c r="K1384" s="229">
        <f>'Tech-Water'!K32</f>
        <v>38455.74</v>
      </c>
      <c r="L1384" s="109">
        <f>'Tech-Water'!L32</f>
        <v>42301.313999999998</v>
      </c>
    </row>
    <row r="1385" spans="1:12" x14ac:dyDescent="0.2">
      <c r="A1385" s="5" t="s">
        <v>985</v>
      </c>
      <c r="B1385" s="7" t="s">
        <v>57</v>
      </c>
      <c r="C1385" s="29">
        <v>235168</v>
      </c>
      <c r="D1385" s="11">
        <v>13923</v>
      </c>
      <c r="E1385" s="9">
        <v>0</v>
      </c>
      <c r="F1385" s="11">
        <v>82772.88</v>
      </c>
      <c r="G1385" s="9">
        <f t="shared" si="580"/>
        <v>152395.12</v>
      </c>
      <c r="H1385" s="11">
        <v>35.19</v>
      </c>
      <c r="I1385" s="240">
        <f>'Tech-Water'!I33</f>
        <v>0</v>
      </c>
      <c r="J1385" s="162">
        <f t="shared" si="581"/>
        <v>235168</v>
      </c>
      <c r="K1385" s="229">
        <f>'Tech-Water'!K33</f>
        <v>249278.07999999999</v>
      </c>
      <c r="L1385" s="109">
        <f>'Tech-Water'!L33</f>
        <v>274205.88799999998</v>
      </c>
    </row>
    <row r="1386" spans="1:12" x14ac:dyDescent="0.2">
      <c r="A1386" s="5" t="s">
        <v>986</v>
      </c>
      <c r="B1386" s="7" t="s">
        <v>59</v>
      </c>
      <c r="C1386" s="29">
        <v>914564</v>
      </c>
      <c r="D1386" s="11">
        <v>66925.25</v>
      </c>
      <c r="E1386" s="9">
        <v>0</v>
      </c>
      <c r="F1386" s="11">
        <v>401345.03</v>
      </c>
      <c r="G1386" s="9">
        <f t="shared" si="580"/>
        <v>513218.97</v>
      </c>
      <c r="H1386" s="11">
        <v>43.88</v>
      </c>
      <c r="I1386" s="240">
        <f>'Tech-Water'!I34</f>
        <v>0</v>
      </c>
      <c r="J1386" s="162">
        <f t="shared" si="581"/>
        <v>914564</v>
      </c>
      <c r="K1386" s="229">
        <f>'Tech-Water'!K34</f>
        <v>969437.84</v>
      </c>
      <c r="L1386" s="109">
        <f>'Tech-Water'!L34</f>
        <v>1066381.6240000001</v>
      </c>
    </row>
    <row r="1387" spans="1:12" x14ac:dyDescent="0.2">
      <c r="A1387" s="5" t="s">
        <v>987</v>
      </c>
      <c r="B1387" s="7" t="s">
        <v>60</v>
      </c>
      <c r="C1387" s="29">
        <v>0</v>
      </c>
      <c r="D1387" s="11">
        <v>0</v>
      </c>
      <c r="E1387" s="9">
        <v>0</v>
      </c>
      <c r="F1387" s="11">
        <v>0</v>
      </c>
      <c r="G1387" s="9">
        <f t="shared" si="580"/>
        <v>0</v>
      </c>
      <c r="H1387" s="11">
        <v>0</v>
      </c>
      <c r="I1387" s="240">
        <f>'Tech-Water'!I35</f>
        <v>0</v>
      </c>
      <c r="J1387" s="162">
        <f t="shared" si="581"/>
        <v>0</v>
      </c>
      <c r="K1387" s="229">
        <f>'Tech-Water'!K35</f>
        <v>0</v>
      </c>
      <c r="L1387" s="109">
        <f>'Tech-Water'!L35</f>
        <v>0</v>
      </c>
    </row>
    <row r="1388" spans="1:12" x14ac:dyDescent="0.2">
      <c r="A1388" s="5" t="s">
        <v>988</v>
      </c>
      <c r="B1388" s="7" t="s">
        <v>62</v>
      </c>
      <c r="C1388" s="29">
        <v>83862</v>
      </c>
      <c r="D1388" s="11">
        <v>3574.06</v>
      </c>
      <c r="E1388" s="9">
        <v>0</v>
      </c>
      <c r="F1388" s="11">
        <v>20730.96</v>
      </c>
      <c r="G1388" s="9">
        <f t="shared" si="580"/>
        <v>63131.040000000001</v>
      </c>
      <c r="H1388" s="11">
        <v>24.72</v>
      </c>
      <c r="I1388" s="240">
        <f>'Tech-Water'!I36</f>
        <v>0</v>
      </c>
      <c r="J1388" s="162">
        <f t="shared" si="581"/>
        <v>83862</v>
      </c>
      <c r="K1388" s="229">
        <f>'Tech-Water'!K36</f>
        <v>88893.72</v>
      </c>
      <c r="L1388" s="109">
        <f>'Tech-Water'!L36</f>
        <v>97783.092000000004</v>
      </c>
    </row>
    <row r="1389" spans="1:12" s="3" customFormat="1" ht="15" x14ac:dyDescent="0.25">
      <c r="A1389" s="18"/>
      <c r="B1389" s="19"/>
      <c r="C1389" s="28"/>
      <c r="D1389" s="21"/>
      <c r="E1389" s="20"/>
      <c r="F1389" s="21"/>
      <c r="G1389" s="20"/>
      <c r="H1389" s="21"/>
      <c r="I1389" s="238"/>
      <c r="J1389" s="168"/>
      <c r="K1389" s="178"/>
      <c r="L1389" s="168"/>
    </row>
    <row r="1390" spans="1:12" s="3" customFormat="1" ht="15" x14ac:dyDescent="0.25">
      <c r="A1390" s="18"/>
      <c r="B1390" s="19" t="s">
        <v>63</v>
      </c>
      <c r="C1390" s="28">
        <f>SUM(C1383:C1389)</f>
        <v>1271778</v>
      </c>
      <c r="D1390" s="36">
        <f t="shared" ref="D1390:G1390" si="582">SUM(D1383:D1389)</f>
        <v>87518.12</v>
      </c>
      <c r="E1390" s="28">
        <f t="shared" si="582"/>
        <v>0</v>
      </c>
      <c r="F1390" s="36">
        <f t="shared" si="582"/>
        <v>523364.45000000007</v>
      </c>
      <c r="G1390" s="28">
        <f t="shared" si="582"/>
        <v>748413.55</v>
      </c>
      <c r="H1390" s="21">
        <v>41.15</v>
      </c>
      <c r="I1390" s="243">
        <f t="shared" ref="I1390" si="583">SUM(I1383:I1389)</f>
        <v>0</v>
      </c>
      <c r="J1390" s="172">
        <f t="shared" ref="J1390" si="584">SUM(J1383:J1389)</f>
        <v>1271778</v>
      </c>
      <c r="K1390" s="236">
        <f t="shared" ref="K1390" si="585">SUM(K1383:K1389)</f>
        <v>1348084.68</v>
      </c>
      <c r="L1390" s="172">
        <f t="shared" ref="L1390" si="586">SUM(L1383:L1389)</f>
        <v>1482893.148</v>
      </c>
    </row>
    <row r="1391" spans="1:12" s="3" customFormat="1" ht="15" x14ac:dyDescent="0.25">
      <c r="A1391" s="18"/>
      <c r="B1391" s="19"/>
      <c r="C1391" s="28"/>
      <c r="D1391" s="21"/>
      <c r="E1391" s="20"/>
      <c r="F1391" s="21"/>
      <c r="G1391" s="20"/>
      <c r="H1391" s="21"/>
      <c r="I1391" s="238"/>
      <c r="J1391" s="168"/>
      <c r="K1391" s="178"/>
      <c r="L1391" s="168"/>
    </row>
    <row r="1392" spans="1:12" s="3" customFormat="1" ht="15" x14ac:dyDescent="0.25">
      <c r="A1392" s="18"/>
      <c r="B1392" s="19" t="s">
        <v>73</v>
      </c>
      <c r="C1392" s="28">
        <f>C1379+C1390</f>
        <v>6203065</v>
      </c>
      <c r="D1392" s="36">
        <f t="shared" ref="D1392:L1392" si="587">D1379+D1390</f>
        <v>457454.77999999997</v>
      </c>
      <c r="E1392" s="28">
        <f t="shared" si="587"/>
        <v>0</v>
      </c>
      <c r="F1392" s="36">
        <f t="shared" si="587"/>
        <v>2668700.5200000005</v>
      </c>
      <c r="G1392" s="28">
        <f t="shared" si="587"/>
        <v>3534364.4799999995</v>
      </c>
      <c r="H1392" s="21">
        <v>43.02</v>
      </c>
      <c r="I1392" s="243">
        <f t="shared" si="587"/>
        <v>60000</v>
      </c>
      <c r="J1392" s="172">
        <f t="shared" si="587"/>
        <v>6263065</v>
      </c>
      <c r="K1392" s="236">
        <f t="shared" si="587"/>
        <v>6622948.8999999994</v>
      </c>
      <c r="L1392" s="172">
        <f t="shared" si="587"/>
        <v>7285243.790000001</v>
      </c>
    </row>
    <row r="1393" spans="1:12" s="3" customFormat="1" ht="15" x14ac:dyDescent="0.25">
      <c r="A1393" s="18"/>
      <c r="B1393" s="19"/>
      <c r="C1393" s="28"/>
      <c r="D1393" s="21"/>
      <c r="E1393" s="20"/>
      <c r="F1393" s="21"/>
      <c r="G1393" s="20"/>
      <c r="H1393" s="21"/>
      <c r="I1393" s="238"/>
      <c r="J1393" s="168"/>
      <c r="K1393" s="178"/>
      <c r="L1393" s="168"/>
    </row>
    <row r="1394" spans="1:12" s="3" customFormat="1" ht="15" x14ac:dyDescent="0.25">
      <c r="A1394" s="18"/>
      <c r="B1394" s="19" t="s">
        <v>74</v>
      </c>
      <c r="C1394" s="28"/>
      <c r="D1394" s="21"/>
      <c r="E1394" s="20"/>
      <c r="F1394" s="21"/>
      <c r="G1394" s="20"/>
      <c r="H1394" s="21"/>
      <c r="I1394" s="238"/>
      <c r="J1394" s="168"/>
      <c r="K1394" s="178"/>
      <c r="L1394" s="168"/>
    </row>
    <row r="1395" spans="1:12" s="3" customFormat="1" ht="15" x14ac:dyDescent="0.25">
      <c r="A1395" s="18"/>
      <c r="B1395" s="19"/>
      <c r="C1395" s="28"/>
      <c r="D1395" s="21"/>
      <c r="E1395" s="20"/>
      <c r="F1395" s="21"/>
      <c r="G1395" s="20"/>
      <c r="H1395" s="21"/>
      <c r="I1395" s="238"/>
      <c r="J1395" s="168"/>
      <c r="K1395" s="178"/>
      <c r="L1395" s="168"/>
    </row>
    <row r="1396" spans="1:12" s="3" customFormat="1" ht="15" x14ac:dyDescent="0.25">
      <c r="A1396" s="18"/>
      <c r="B1396" s="19" t="s">
        <v>75</v>
      </c>
      <c r="C1396" s="28"/>
      <c r="D1396" s="21"/>
      <c r="E1396" s="20"/>
      <c r="F1396" s="21"/>
      <c r="G1396" s="20"/>
      <c r="H1396" s="21"/>
      <c r="I1396" s="238"/>
      <c r="J1396" s="168"/>
      <c r="K1396" s="178"/>
      <c r="L1396" s="168"/>
    </row>
    <row r="1397" spans="1:12" s="3" customFormat="1" ht="15" x14ac:dyDescent="0.25">
      <c r="A1397" s="18"/>
      <c r="B1397" s="19"/>
      <c r="C1397" s="28"/>
      <c r="D1397" s="21"/>
      <c r="E1397" s="20"/>
      <c r="F1397" s="21"/>
      <c r="G1397" s="20"/>
      <c r="H1397" s="21"/>
      <c r="I1397" s="238"/>
      <c r="J1397" s="168"/>
      <c r="K1397" s="178"/>
      <c r="L1397" s="168"/>
    </row>
    <row r="1398" spans="1:12" x14ac:dyDescent="0.2">
      <c r="A1398" s="5" t="s">
        <v>989</v>
      </c>
      <c r="B1398" s="7" t="s">
        <v>135</v>
      </c>
      <c r="C1398" s="29">
        <v>1500000</v>
      </c>
      <c r="D1398" s="11">
        <v>6527.3</v>
      </c>
      <c r="E1398" s="9">
        <v>12049.71</v>
      </c>
      <c r="F1398" s="11">
        <v>88438.79</v>
      </c>
      <c r="G1398" s="9">
        <v>1411561.21</v>
      </c>
      <c r="H1398" s="11">
        <v>5.89</v>
      </c>
      <c r="I1398" s="240">
        <f>'Tech-Water'!I46</f>
        <v>0</v>
      </c>
      <c r="J1398" s="109">
        <f>'Tech-Water'!J46</f>
        <v>1500000</v>
      </c>
      <c r="K1398" s="229">
        <f>'Tech-Water'!K46</f>
        <v>1500000</v>
      </c>
      <c r="L1398" s="109">
        <f>'Tech-Water'!L46</f>
        <v>1500000</v>
      </c>
    </row>
    <row r="1399" spans="1:12" x14ac:dyDescent="0.2">
      <c r="A1399" s="5" t="s">
        <v>990</v>
      </c>
      <c r="B1399" s="7" t="s">
        <v>187</v>
      </c>
      <c r="C1399" s="29">
        <v>0</v>
      </c>
      <c r="D1399" s="11">
        <v>0</v>
      </c>
      <c r="E1399" s="9">
        <v>0</v>
      </c>
      <c r="F1399" s="11">
        <v>0</v>
      </c>
      <c r="G1399" s="9">
        <v>0</v>
      </c>
      <c r="H1399" s="11">
        <v>0</v>
      </c>
      <c r="I1399" s="240">
        <f>'Tech-Water'!I47</f>
        <v>0</v>
      </c>
      <c r="J1399" s="162"/>
      <c r="K1399" s="169"/>
      <c r="L1399" s="162"/>
    </row>
    <row r="1400" spans="1:12" x14ac:dyDescent="0.2">
      <c r="A1400" s="5" t="s">
        <v>991</v>
      </c>
      <c r="B1400" s="7" t="s">
        <v>262</v>
      </c>
      <c r="C1400" s="29">
        <v>0</v>
      </c>
      <c r="D1400" s="11">
        <v>0</v>
      </c>
      <c r="E1400" s="9">
        <v>0</v>
      </c>
      <c r="F1400" s="11">
        <v>0</v>
      </c>
      <c r="G1400" s="9">
        <v>0</v>
      </c>
      <c r="H1400" s="11">
        <v>0</v>
      </c>
      <c r="I1400" s="240">
        <f>'Tech-Water'!I48</f>
        <v>0</v>
      </c>
      <c r="J1400" s="162"/>
      <c r="K1400" s="169"/>
      <c r="L1400" s="162"/>
    </row>
    <row r="1401" spans="1:12" x14ac:dyDescent="0.2">
      <c r="A1401" s="5" t="s">
        <v>992</v>
      </c>
      <c r="B1401" s="7" t="s">
        <v>276</v>
      </c>
      <c r="C1401" s="29">
        <v>0</v>
      </c>
      <c r="D1401" s="11">
        <v>0</v>
      </c>
      <c r="E1401" s="9">
        <v>0</v>
      </c>
      <c r="F1401" s="11">
        <v>0</v>
      </c>
      <c r="G1401" s="9">
        <v>0</v>
      </c>
      <c r="H1401" s="11">
        <v>0</v>
      </c>
      <c r="I1401" s="240">
        <f>'Tech-Water'!I49</f>
        <v>0</v>
      </c>
      <c r="J1401" s="162"/>
      <c r="K1401" s="169"/>
      <c r="L1401" s="162"/>
    </row>
    <row r="1402" spans="1:12" x14ac:dyDescent="0.2">
      <c r="A1402" s="5"/>
      <c r="B1402" s="7"/>
      <c r="C1402" s="29"/>
      <c r="D1402" s="11"/>
      <c r="E1402" s="9"/>
      <c r="F1402" s="11"/>
      <c r="G1402" s="9"/>
      <c r="H1402" s="11"/>
      <c r="I1402" s="240"/>
      <c r="J1402" s="162"/>
      <c r="K1402" s="169"/>
      <c r="L1402" s="162"/>
    </row>
    <row r="1403" spans="1:12" s="3" customFormat="1" ht="15" x14ac:dyDescent="0.25">
      <c r="A1403" s="18"/>
      <c r="B1403" s="19" t="s">
        <v>287</v>
      </c>
      <c r="C1403" s="28">
        <f>SUM(C1398:C1402)</f>
        <v>1500000</v>
      </c>
      <c r="D1403" s="36">
        <f t="shared" ref="D1403:G1403" si="588">SUM(D1398:D1402)</f>
        <v>6527.3</v>
      </c>
      <c r="E1403" s="28">
        <f t="shared" si="588"/>
        <v>12049.71</v>
      </c>
      <c r="F1403" s="36">
        <f t="shared" si="588"/>
        <v>88438.79</v>
      </c>
      <c r="G1403" s="28">
        <f t="shared" si="588"/>
        <v>1411561.21</v>
      </c>
      <c r="H1403" s="21">
        <v>5.89</v>
      </c>
      <c r="I1403" s="243">
        <f t="shared" ref="I1403:L1403" si="589">SUM(I1398:I1402)</f>
        <v>0</v>
      </c>
      <c r="J1403" s="172">
        <f t="shared" si="589"/>
        <v>1500000</v>
      </c>
      <c r="K1403" s="236">
        <f t="shared" si="589"/>
        <v>1500000</v>
      </c>
      <c r="L1403" s="172">
        <f t="shared" si="589"/>
        <v>1500000</v>
      </c>
    </row>
    <row r="1404" spans="1:12" s="3" customFormat="1" ht="15" x14ac:dyDescent="0.25">
      <c r="A1404" s="18"/>
      <c r="B1404" s="19"/>
      <c r="C1404" s="28"/>
      <c r="D1404" s="21"/>
      <c r="E1404" s="20"/>
      <c r="F1404" s="21"/>
      <c r="G1404" s="20"/>
      <c r="H1404" s="21"/>
      <c r="I1404" s="238"/>
      <c r="J1404" s="168"/>
      <c r="K1404" s="178"/>
      <c r="L1404" s="168"/>
    </row>
    <row r="1405" spans="1:12" s="3" customFormat="1" ht="15" x14ac:dyDescent="0.25">
      <c r="A1405" s="18"/>
      <c r="B1405" s="19" t="s">
        <v>292</v>
      </c>
      <c r="C1405" s="28">
        <f>C1403</f>
        <v>1500000</v>
      </c>
      <c r="D1405" s="36">
        <f t="shared" ref="D1405:L1405" si="590">D1403</f>
        <v>6527.3</v>
      </c>
      <c r="E1405" s="28">
        <f t="shared" si="590"/>
        <v>12049.71</v>
      </c>
      <c r="F1405" s="36">
        <f t="shared" si="590"/>
        <v>88438.79</v>
      </c>
      <c r="G1405" s="28">
        <f t="shared" si="590"/>
        <v>1411561.21</v>
      </c>
      <c r="H1405" s="21">
        <v>5.89</v>
      </c>
      <c r="I1405" s="243">
        <f t="shared" si="590"/>
        <v>0</v>
      </c>
      <c r="J1405" s="172">
        <f t="shared" si="590"/>
        <v>1500000</v>
      </c>
      <c r="K1405" s="236">
        <f t="shared" si="590"/>
        <v>1500000</v>
      </c>
      <c r="L1405" s="172">
        <f t="shared" si="590"/>
        <v>1500000</v>
      </c>
    </row>
    <row r="1406" spans="1:12" s="3" customFormat="1" ht="15" x14ac:dyDescent="0.25">
      <c r="A1406" s="18"/>
      <c r="B1406" s="19"/>
      <c r="C1406" s="28"/>
      <c r="D1406" s="21"/>
      <c r="E1406" s="20"/>
      <c r="F1406" s="21"/>
      <c r="G1406" s="20"/>
      <c r="H1406" s="21"/>
      <c r="I1406" s="238"/>
      <c r="J1406" s="168"/>
      <c r="K1406" s="178"/>
      <c r="L1406" s="168"/>
    </row>
    <row r="1407" spans="1:12" s="3" customFormat="1" ht="15" x14ac:dyDescent="0.25">
      <c r="A1407" s="18"/>
      <c r="B1407" s="19" t="s">
        <v>338</v>
      </c>
      <c r="C1407" s="28">
        <f>C1392+C1405</f>
        <v>7703065</v>
      </c>
      <c r="D1407" s="36">
        <f t="shared" ref="D1407:L1407" si="591">D1392+D1405</f>
        <v>463982.07999999996</v>
      </c>
      <c r="E1407" s="28">
        <f t="shared" si="591"/>
        <v>12049.71</v>
      </c>
      <c r="F1407" s="36">
        <f t="shared" si="591"/>
        <v>2757139.3100000005</v>
      </c>
      <c r="G1407" s="28">
        <f t="shared" si="591"/>
        <v>4945925.6899999995</v>
      </c>
      <c r="H1407" s="21">
        <v>35.79</v>
      </c>
      <c r="I1407" s="243">
        <f t="shared" si="591"/>
        <v>60000</v>
      </c>
      <c r="J1407" s="172">
        <f t="shared" si="591"/>
        <v>7763065</v>
      </c>
      <c r="K1407" s="236">
        <f t="shared" si="591"/>
        <v>8122948.8999999994</v>
      </c>
      <c r="L1407" s="172">
        <f t="shared" si="591"/>
        <v>8785243.790000001</v>
      </c>
    </row>
    <row r="1408" spans="1:12" x14ac:dyDescent="0.2">
      <c r="A1408" s="5"/>
      <c r="B1408" s="7"/>
      <c r="C1408" s="29"/>
      <c r="D1408" s="11"/>
      <c r="E1408" s="9"/>
      <c r="F1408" s="11"/>
      <c r="G1408" s="9"/>
      <c r="H1408" s="11"/>
      <c r="I1408" s="240"/>
      <c r="J1408" s="162"/>
      <c r="K1408" s="169"/>
      <c r="L1408" s="162"/>
    </row>
    <row r="1409" spans="1:12" s="3" customFormat="1" ht="15" x14ac:dyDescent="0.25">
      <c r="A1409" s="18"/>
      <c r="B1409" s="19" t="s">
        <v>339</v>
      </c>
      <c r="C1409" s="28">
        <f>C1407</f>
        <v>7703065</v>
      </c>
      <c r="D1409" s="36">
        <f t="shared" ref="D1409:G1409" si="592">D1407</f>
        <v>463982.07999999996</v>
      </c>
      <c r="E1409" s="28">
        <f t="shared" si="592"/>
        <v>12049.71</v>
      </c>
      <c r="F1409" s="36">
        <f t="shared" si="592"/>
        <v>2757139.3100000005</v>
      </c>
      <c r="G1409" s="28">
        <f t="shared" si="592"/>
        <v>4945925.6899999995</v>
      </c>
      <c r="H1409" s="21">
        <v>35.79</v>
      </c>
      <c r="I1409" s="243">
        <f t="shared" ref="I1409:L1409" si="593">I1407</f>
        <v>60000</v>
      </c>
      <c r="J1409" s="172">
        <f t="shared" si="593"/>
        <v>7763065</v>
      </c>
      <c r="K1409" s="236">
        <f t="shared" si="593"/>
        <v>8122948.8999999994</v>
      </c>
      <c r="L1409" s="172">
        <f t="shared" si="593"/>
        <v>8785243.790000001</v>
      </c>
    </row>
    <row r="1410" spans="1:12" s="3" customFormat="1" ht="15" x14ac:dyDescent="0.25">
      <c r="A1410" s="18"/>
      <c r="B1410" s="19"/>
      <c r="C1410" s="28"/>
      <c r="D1410" s="21"/>
      <c r="E1410" s="20"/>
      <c r="F1410" s="21"/>
      <c r="G1410" s="20"/>
      <c r="H1410" s="21"/>
      <c r="I1410" s="238"/>
      <c r="J1410" s="168"/>
      <c r="K1410" s="178"/>
      <c r="L1410" s="168"/>
    </row>
    <row r="1411" spans="1:12" s="3" customFormat="1" ht="15" x14ac:dyDescent="0.25">
      <c r="A1411" s="18"/>
      <c r="B1411" s="19" t="s">
        <v>340</v>
      </c>
      <c r="C1411" s="28"/>
      <c r="D1411" s="21"/>
      <c r="E1411" s="20"/>
      <c r="F1411" s="21"/>
      <c r="G1411" s="20"/>
      <c r="H1411" s="21"/>
      <c r="I1411" s="238"/>
      <c r="J1411" s="168"/>
      <c r="K1411" s="178"/>
      <c r="L1411" s="168"/>
    </row>
    <row r="1412" spans="1:12" s="3" customFormat="1" ht="15" x14ac:dyDescent="0.25">
      <c r="A1412" s="18"/>
      <c r="B1412" s="19"/>
      <c r="C1412" s="28"/>
      <c r="D1412" s="21"/>
      <c r="E1412" s="20"/>
      <c r="F1412" s="21"/>
      <c r="G1412" s="20"/>
      <c r="H1412" s="21"/>
      <c r="I1412" s="238"/>
      <c r="J1412" s="168"/>
      <c r="K1412" s="178"/>
      <c r="L1412" s="168"/>
    </row>
    <row r="1413" spans="1:12" s="3" customFormat="1" ht="15" x14ac:dyDescent="0.25">
      <c r="A1413" s="18"/>
      <c r="B1413" s="19" t="s">
        <v>353</v>
      </c>
      <c r="C1413" s="28"/>
      <c r="D1413" s="21"/>
      <c r="E1413" s="20"/>
      <c r="F1413" s="21"/>
      <c r="G1413" s="20"/>
      <c r="H1413" s="21"/>
      <c r="I1413" s="238"/>
      <c r="J1413" s="168"/>
      <c r="K1413" s="178"/>
      <c r="L1413" s="168"/>
    </row>
    <row r="1414" spans="1:12" s="3" customFormat="1" ht="15" x14ac:dyDescent="0.25">
      <c r="A1414" s="18"/>
      <c r="B1414" s="19"/>
      <c r="C1414" s="28"/>
      <c r="D1414" s="21"/>
      <c r="E1414" s="20"/>
      <c r="F1414" s="21"/>
      <c r="G1414" s="20"/>
      <c r="H1414" s="21"/>
      <c r="I1414" s="238"/>
      <c r="J1414" s="168"/>
      <c r="K1414" s="178"/>
      <c r="L1414" s="168"/>
    </row>
    <row r="1415" spans="1:12" x14ac:dyDescent="0.2">
      <c r="A1415" s="5" t="s">
        <v>993</v>
      </c>
      <c r="B1415" s="7" t="s">
        <v>355</v>
      </c>
      <c r="C1415" s="29">
        <v>-1500000</v>
      </c>
      <c r="D1415" s="11">
        <v>0</v>
      </c>
      <c r="E1415" s="9">
        <v>0</v>
      </c>
      <c r="F1415" s="11">
        <v>0</v>
      </c>
      <c r="G1415" s="9">
        <v>-1500000</v>
      </c>
      <c r="H1415" s="11">
        <v>0</v>
      </c>
      <c r="I1415" s="240">
        <f>'Tech-Water'!I63</f>
        <v>0</v>
      </c>
      <c r="J1415" s="109">
        <f>'Tech-Water'!J63</f>
        <v>-1500000</v>
      </c>
      <c r="K1415" s="229">
        <f>'Tech-Water'!K63</f>
        <v>-1500000</v>
      </c>
      <c r="L1415" s="109">
        <f>'Tech-Water'!L63</f>
        <v>-1500000</v>
      </c>
    </row>
    <row r="1416" spans="1:12" x14ac:dyDescent="0.2">
      <c r="A1416" s="5" t="s">
        <v>994</v>
      </c>
      <c r="B1416" s="7" t="s">
        <v>357</v>
      </c>
      <c r="C1416" s="29">
        <v>0</v>
      </c>
      <c r="D1416" s="11">
        <v>0</v>
      </c>
      <c r="E1416" s="9">
        <v>0</v>
      </c>
      <c r="F1416" s="11">
        <v>0</v>
      </c>
      <c r="G1416" s="9">
        <v>0</v>
      </c>
      <c r="H1416" s="11">
        <v>0</v>
      </c>
      <c r="I1416" s="240">
        <f>'Tech-Water'!I64</f>
        <v>0</v>
      </c>
      <c r="J1416" s="162"/>
      <c r="K1416" s="169"/>
      <c r="L1416" s="162"/>
    </row>
    <row r="1417" spans="1:12" x14ac:dyDescent="0.2">
      <c r="A1417" s="5"/>
      <c r="B1417" s="7"/>
      <c r="C1417" s="29"/>
      <c r="D1417" s="11"/>
      <c r="E1417" s="9"/>
      <c r="F1417" s="11"/>
      <c r="G1417" s="9"/>
      <c r="H1417" s="11"/>
      <c r="I1417" s="240"/>
      <c r="J1417" s="162"/>
      <c r="K1417" s="169"/>
      <c r="L1417" s="162"/>
    </row>
    <row r="1418" spans="1:12" s="3" customFormat="1" ht="15" x14ac:dyDescent="0.25">
      <c r="A1418" s="18"/>
      <c r="B1418" s="19" t="s">
        <v>360</v>
      </c>
      <c r="C1418" s="28">
        <f>SUM(C1415:C1417)</f>
        <v>-1500000</v>
      </c>
      <c r="D1418" s="36">
        <f t="shared" ref="D1418:G1418" si="594">SUM(D1415:D1417)</f>
        <v>0</v>
      </c>
      <c r="E1418" s="28">
        <f t="shared" si="594"/>
        <v>0</v>
      </c>
      <c r="F1418" s="36">
        <f t="shared" si="594"/>
        <v>0</v>
      </c>
      <c r="G1418" s="28">
        <f t="shared" si="594"/>
        <v>-1500000</v>
      </c>
      <c r="H1418" s="21">
        <v>0</v>
      </c>
      <c r="I1418" s="243">
        <f t="shared" ref="I1418" si="595">SUM(I1415:I1417)</f>
        <v>0</v>
      </c>
      <c r="J1418" s="172">
        <f t="shared" ref="J1418" si="596">SUM(J1415:J1417)</f>
        <v>-1500000</v>
      </c>
      <c r="K1418" s="236">
        <f t="shared" ref="K1418" si="597">SUM(K1415:K1417)</f>
        <v>-1500000</v>
      </c>
      <c r="L1418" s="172">
        <f t="shared" ref="L1418" si="598">SUM(L1415:L1417)</f>
        <v>-1500000</v>
      </c>
    </row>
    <row r="1419" spans="1:12" s="3" customFormat="1" ht="15" x14ac:dyDescent="0.25">
      <c r="A1419" s="18"/>
      <c r="B1419" s="19"/>
      <c r="C1419" s="28"/>
      <c r="D1419" s="21"/>
      <c r="E1419" s="20"/>
      <c r="F1419" s="21"/>
      <c r="G1419" s="20"/>
      <c r="H1419" s="21"/>
      <c r="I1419" s="238"/>
      <c r="J1419" s="168"/>
      <c r="K1419" s="178"/>
      <c r="L1419" s="168"/>
    </row>
    <row r="1420" spans="1:12" s="3" customFormat="1" ht="15" x14ac:dyDescent="0.25">
      <c r="A1420" s="18"/>
      <c r="B1420" s="19" t="s">
        <v>381</v>
      </c>
      <c r="C1420" s="28"/>
      <c r="D1420" s="21"/>
      <c r="E1420" s="20"/>
      <c r="F1420" s="21"/>
      <c r="G1420" s="20"/>
      <c r="H1420" s="21"/>
      <c r="I1420" s="238"/>
      <c r="J1420" s="168"/>
      <c r="K1420" s="178"/>
      <c r="L1420" s="168"/>
    </row>
    <row r="1421" spans="1:12" s="3" customFormat="1" ht="15" x14ac:dyDescent="0.25">
      <c r="A1421" s="18"/>
      <c r="B1421" s="19"/>
      <c r="C1421" s="28"/>
      <c r="D1421" s="21"/>
      <c r="E1421" s="20"/>
      <c r="F1421" s="21"/>
      <c r="G1421" s="20"/>
      <c r="H1421" s="21"/>
      <c r="I1421" s="238"/>
      <c r="J1421" s="168"/>
      <c r="K1421" s="178"/>
      <c r="L1421" s="168"/>
    </row>
    <row r="1422" spans="1:12" x14ac:dyDescent="0.2">
      <c r="A1422" s="5" t="s">
        <v>995</v>
      </c>
      <c r="B1422" s="7" t="s">
        <v>422</v>
      </c>
      <c r="C1422" s="29">
        <v>-1138332</v>
      </c>
      <c r="D1422" s="11">
        <v>-366365.63</v>
      </c>
      <c r="E1422" s="9">
        <v>0</v>
      </c>
      <c r="F1422" s="11">
        <v>-902199.92</v>
      </c>
      <c r="G1422" s="9">
        <v>-236132.08</v>
      </c>
      <c r="H1422" s="11">
        <v>79.25</v>
      </c>
      <c r="I1422" s="240">
        <f>'Tech-Water'!I70</f>
        <v>-666067.84</v>
      </c>
      <c r="J1422" s="109">
        <f>'Tech-Water'!J70</f>
        <v>-1804399.8399999999</v>
      </c>
      <c r="K1422" s="229">
        <f>'Tech-Water'!K70</f>
        <v>-1912663.8303999999</v>
      </c>
      <c r="L1422" s="109">
        <f>'Tech-Water'!L70</f>
        <v>-2103930.2134400001</v>
      </c>
    </row>
    <row r="1423" spans="1:12" x14ac:dyDescent="0.2">
      <c r="A1423" s="5" t="s">
        <v>996</v>
      </c>
      <c r="B1423" s="7" t="s">
        <v>424</v>
      </c>
      <c r="C1423" s="29">
        <v>-231076</v>
      </c>
      <c r="D1423" s="11">
        <v>-60678.67</v>
      </c>
      <c r="E1423" s="9">
        <v>0</v>
      </c>
      <c r="F1423" s="11">
        <v>-139226.23999999999</v>
      </c>
      <c r="G1423" s="9">
        <v>-91849.76</v>
      </c>
      <c r="H1423" s="11">
        <v>60.25</v>
      </c>
      <c r="I1423" s="240">
        <f>'Tech-Water'!I71</f>
        <v>-47376.480000000003</v>
      </c>
      <c r="J1423" s="109">
        <f>'Tech-Water'!J71</f>
        <v>-278452.47999999998</v>
      </c>
      <c r="K1423" s="229">
        <f>'Tech-Water'!K71</f>
        <v>-295159.62880000001</v>
      </c>
      <c r="L1423" s="109">
        <f>'Tech-Water'!L71</f>
        <v>-324675.59168000001</v>
      </c>
    </row>
    <row r="1424" spans="1:12" x14ac:dyDescent="0.2">
      <c r="A1424" s="5"/>
      <c r="B1424" s="7"/>
      <c r="C1424" s="29"/>
      <c r="D1424" s="11"/>
      <c r="E1424" s="9"/>
      <c r="F1424" s="11"/>
      <c r="G1424" s="9"/>
      <c r="H1424" s="11"/>
      <c r="I1424" s="240"/>
      <c r="J1424" s="162"/>
      <c r="K1424" s="169"/>
      <c r="L1424" s="162"/>
    </row>
    <row r="1425" spans="1:12" s="3" customFormat="1" ht="15" x14ac:dyDescent="0.25">
      <c r="A1425" s="18"/>
      <c r="B1425" s="19" t="s">
        <v>426</v>
      </c>
      <c r="C1425" s="28">
        <f>SUM(C1422:C1424)</f>
        <v>-1369408</v>
      </c>
      <c r="D1425" s="36">
        <f t="shared" ref="D1425:G1425" si="599">SUM(D1422:D1424)</f>
        <v>-427044.3</v>
      </c>
      <c r="E1425" s="28">
        <f t="shared" si="599"/>
        <v>0</v>
      </c>
      <c r="F1425" s="36">
        <f t="shared" si="599"/>
        <v>-1041426.16</v>
      </c>
      <c r="G1425" s="28">
        <f t="shared" si="599"/>
        <v>-327981.83999999997</v>
      </c>
      <c r="H1425" s="21">
        <v>76.040000000000006</v>
      </c>
      <c r="I1425" s="243">
        <f t="shared" ref="I1425" si="600">SUM(I1422:I1424)</f>
        <v>-713444.32</v>
      </c>
      <c r="J1425" s="172">
        <f t="shared" ref="J1425" si="601">SUM(J1422:J1424)</f>
        <v>-2082852.3199999998</v>
      </c>
      <c r="K1425" s="236">
        <f t="shared" ref="K1425" si="602">SUM(K1422:K1424)</f>
        <v>-2207823.4591999999</v>
      </c>
      <c r="L1425" s="172">
        <f t="shared" ref="L1425" si="603">SUM(L1422:L1424)</f>
        <v>-2428605.8051200002</v>
      </c>
    </row>
    <row r="1426" spans="1:12" x14ac:dyDescent="0.2">
      <c r="A1426" s="5"/>
      <c r="B1426" s="7"/>
      <c r="C1426" s="29"/>
      <c r="D1426" s="11"/>
      <c r="E1426" s="9"/>
      <c r="F1426" s="11"/>
      <c r="G1426" s="9"/>
      <c r="H1426" s="11"/>
      <c r="I1426" s="240"/>
      <c r="J1426" s="162"/>
      <c r="K1426" s="169"/>
      <c r="L1426" s="162"/>
    </row>
    <row r="1427" spans="1:12" s="3" customFormat="1" ht="15" x14ac:dyDescent="0.25">
      <c r="A1427" s="18"/>
      <c r="B1427" s="19" t="s">
        <v>427</v>
      </c>
      <c r="C1427" s="28">
        <f>C1418+C1425</f>
        <v>-2869408</v>
      </c>
      <c r="D1427" s="36">
        <f t="shared" ref="D1427:F1427" si="604">D1418+D1425</f>
        <v>-427044.3</v>
      </c>
      <c r="E1427" s="28">
        <f t="shared" si="604"/>
        <v>0</v>
      </c>
      <c r="F1427" s="36">
        <f t="shared" si="604"/>
        <v>-1041426.16</v>
      </c>
      <c r="G1427" s="28"/>
      <c r="H1427" s="21">
        <v>36.29</v>
      </c>
      <c r="I1427" s="28">
        <f>I1418+I1425</f>
        <v>-713444.32</v>
      </c>
      <c r="J1427" s="172">
        <f>J1418+J1425</f>
        <v>-3582852.32</v>
      </c>
      <c r="K1427" s="172">
        <f t="shared" ref="K1427:L1427" si="605">K1418+K1425</f>
        <v>-3707823.4591999999</v>
      </c>
      <c r="L1427" s="172">
        <f t="shared" si="605"/>
        <v>-3928605.8051200002</v>
      </c>
    </row>
    <row r="1428" spans="1:12" ht="15" x14ac:dyDescent="0.25">
      <c r="A1428" s="5"/>
      <c r="B1428" s="7"/>
      <c r="C1428" s="29"/>
      <c r="D1428" s="11"/>
      <c r="E1428" s="9"/>
      <c r="F1428" s="11"/>
      <c r="G1428" s="9"/>
      <c r="H1428" s="11"/>
      <c r="I1428" s="240"/>
      <c r="J1428" s="172">
        <f t="shared" ref="J1428:L1428" si="606">J1426</f>
        <v>0</v>
      </c>
      <c r="K1428" s="236">
        <f t="shared" si="606"/>
        <v>0</v>
      </c>
      <c r="L1428" s="172">
        <f t="shared" si="606"/>
        <v>0</v>
      </c>
    </row>
    <row r="1429" spans="1:12" s="3" customFormat="1" ht="15" x14ac:dyDescent="0.25">
      <c r="A1429" s="18"/>
      <c r="B1429" s="19" t="s">
        <v>428</v>
      </c>
      <c r="C1429" s="28">
        <f>C1427</f>
        <v>-2869408</v>
      </c>
      <c r="D1429" s="36">
        <f t="shared" ref="D1429:G1429" si="607">D1427</f>
        <v>-427044.3</v>
      </c>
      <c r="E1429" s="28">
        <f t="shared" si="607"/>
        <v>0</v>
      </c>
      <c r="F1429" s="36">
        <f t="shared" si="607"/>
        <v>-1041426.16</v>
      </c>
      <c r="G1429" s="28">
        <f t="shared" si="607"/>
        <v>0</v>
      </c>
      <c r="H1429" s="21">
        <v>36.29</v>
      </c>
      <c r="I1429" s="243">
        <f t="shared" ref="I1429:L1429" si="608">I1427</f>
        <v>-713444.32</v>
      </c>
      <c r="J1429" s="172">
        <f t="shared" si="608"/>
        <v>-3582852.32</v>
      </c>
      <c r="K1429" s="236">
        <f t="shared" si="608"/>
        <v>-3707823.4591999999</v>
      </c>
      <c r="L1429" s="172">
        <f t="shared" si="608"/>
        <v>-3928605.8051200002</v>
      </c>
    </row>
    <row r="1430" spans="1:12" s="3" customFormat="1" ht="15" x14ac:dyDescent="0.25">
      <c r="A1430" s="18"/>
      <c r="B1430" s="19"/>
      <c r="C1430" s="28"/>
      <c r="D1430" s="21"/>
      <c r="E1430" s="20"/>
      <c r="F1430" s="21"/>
      <c r="G1430" s="20"/>
      <c r="H1430" s="21"/>
      <c r="I1430" s="238"/>
      <c r="J1430" s="172">
        <f t="shared" ref="J1430:L1430" si="609">J1428</f>
        <v>0</v>
      </c>
      <c r="K1430" s="236">
        <f t="shared" si="609"/>
        <v>0</v>
      </c>
      <c r="L1430" s="172">
        <f t="shared" si="609"/>
        <v>0</v>
      </c>
    </row>
    <row r="1431" spans="1:12" s="3" customFormat="1" ht="15" x14ac:dyDescent="0.25">
      <c r="A1431" s="18"/>
      <c r="B1431" s="19" t="s">
        <v>429</v>
      </c>
      <c r="C1431" s="28">
        <f>C1429</f>
        <v>-2869408</v>
      </c>
      <c r="D1431" s="36">
        <f t="shared" ref="D1431:G1431" si="610">D1429</f>
        <v>-427044.3</v>
      </c>
      <c r="E1431" s="28">
        <f t="shared" si="610"/>
        <v>0</v>
      </c>
      <c r="F1431" s="36">
        <f t="shared" si="610"/>
        <v>-1041426.16</v>
      </c>
      <c r="G1431" s="28">
        <f t="shared" si="610"/>
        <v>0</v>
      </c>
      <c r="H1431" s="21">
        <v>36.29</v>
      </c>
      <c r="I1431" s="238">
        <f>I1429</f>
        <v>-713444.32</v>
      </c>
      <c r="J1431" s="172">
        <f t="shared" ref="J1431:L1431" si="611">J1429</f>
        <v>-3582852.32</v>
      </c>
      <c r="K1431" s="236">
        <f t="shared" si="611"/>
        <v>-3707823.4591999999</v>
      </c>
      <c r="L1431" s="172">
        <f t="shared" si="611"/>
        <v>-3928605.8051200002</v>
      </c>
    </row>
    <row r="1432" spans="1:12" s="3" customFormat="1" ht="15" x14ac:dyDescent="0.25">
      <c r="A1432" s="18"/>
      <c r="B1432" s="19"/>
      <c r="C1432" s="28"/>
      <c r="D1432" s="21"/>
      <c r="E1432" s="20"/>
      <c r="F1432" s="21"/>
      <c r="G1432" s="20"/>
      <c r="H1432" s="21"/>
      <c r="I1432" s="238"/>
      <c r="J1432" s="168"/>
      <c r="K1432" s="178"/>
      <c r="L1432" s="168"/>
    </row>
    <row r="1433" spans="1:12" s="3" customFormat="1" ht="15" x14ac:dyDescent="0.25">
      <c r="A1433" s="18"/>
      <c r="B1433" s="19" t="s">
        <v>430</v>
      </c>
      <c r="C1433" s="28"/>
      <c r="D1433" s="21"/>
      <c r="E1433" s="20"/>
      <c r="F1433" s="21"/>
      <c r="G1433" s="20"/>
      <c r="H1433" s="21"/>
      <c r="I1433" s="238"/>
      <c r="J1433" s="168"/>
      <c r="K1433" s="178"/>
      <c r="L1433" s="168"/>
    </row>
    <row r="1434" spans="1:12" s="3" customFormat="1" ht="15" x14ac:dyDescent="0.25">
      <c r="A1434" s="18"/>
      <c r="B1434" s="19"/>
      <c r="C1434" s="28"/>
      <c r="D1434" s="21"/>
      <c r="E1434" s="20"/>
      <c r="F1434" s="21"/>
      <c r="G1434" s="20"/>
      <c r="H1434" s="21"/>
      <c r="I1434" s="238"/>
      <c r="J1434" s="168"/>
      <c r="K1434" s="178"/>
      <c r="L1434" s="168"/>
    </row>
    <row r="1435" spans="1:12" s="3" customFormat="1" ht="15" x14ac:dyDescent="0.25">
      <c r="A1435" s="18"/>
      <c r="B1435" s="19" t="s">
        <v>431</v>
      </c>
      <c r="C1435" s="28"/>
      <c r="D1435" s="21"/>
      <c r="E1435" s="20"/>
      <c r="F1435" s="21"/>
      <c r="G1435" s="20"/>
      <c r="H1435" s="21"/>
      <c r="I1435" s="238"/>
      <c r="J1435" s="168"/>
      <c r="K1435" s="178"/>
      <c r="L1435" s="168"/>
    </row>
    <row r="1436" spans="1:12" s="3" customFormat="1" ht="15" x14ac:dyDescent="0.25">
      <c r="A1436" s="18"/>
      <c r="B1436" s="19"/>
      <c r="C1436" s="28"/>
      <c r="D1436" s="21"/>
      <c r="E1436" s="20"/>
      <c r="F1436" s="21"/>
      <c r="G1436" s="20"/>
      <c r="H1436" s="21"/>
      <c r="I1436" s="238"/>
      <c r="J1436" s="168"/>
      <c r="K1436" s="178"/>
      <c r="L1436" s="168"/>
    </row>
    <row r="1437" spans="1:12" x14ac:dyDescent="0.2">
      <c r="A1437" s="5" t="s">
        <v>997</v>
      </c>
      <c r="B1437" s="7" t="s">
        <v>433</v>
      </c>
      <c r="C1437" s="29">
        <f>C1409</f>
        <v>7703065</v>
      </c>
      <c r="D1437" s="37">
        <f t="shared" ref="D1437:G1437" si="612">D1409</f>
        <v>463982.07999999996</v>
      </c>
      <c r="E1437" s="29">
        <f t="shared" si="612"/>
        <v>12049.71</v>
      </c>
      <c r="F1437" s="37">
        <f t="shared" si="612"/>
        <v>2757139.3100000005</v>
      </c>
      <c r="G1437" s="29">
        <f t="shared" si="612"/>
        <v>4945925.6899999995</v>
      </c>
      <c r="H1437" s="11">
        <v>35.79</v>
      </c>
      <c r="I1437" s="240">
        <f>'All Departments'!I1409</f>
        <v>60000</v>
      </c>
      <c r="J1437" s="109">
        <f>'All Departments'!J1409</f>
        <v>7763065</v>
      </c>
      <c r="K1437" s="229">
        <f>'All Departments'!K1409</f>
        <v>8122948.8999999994</v>
      </c>
      <c r="L1437" s="109">
        <f>'All Departments'!L1409</f>
        <v>8785243.790000001</v>
      </c>
    </row>
    <row r="1438" spans="1:12" x14ac:dyDescent="0.2">
      <c r="A1438" s="5" t="s">
        <v>998</v>
      </c>
      <c r="B1438" s="7" t="s">
        <v>429</v>
      </c>
      <c r="C1438" s="29">
        <f>C1431</f>
        <v>-2869408</v>
      </c>
      <c r="D1438" s="37">
        <f t="shared" ref="D1438:G1438" si="613">D1431</f>
        <v>-427044.3</v>
      </c>
      <c r="E1438" s="29">
        <f t="shared" si="613"/>
        <v>0</v>
      </c>
      <c r="F1438" s="37">
        <f t="shared" si="613"/>
        <v>-1041426.16</v>
      </c>
      <c r="G1438" s="29">
        <f t="shared" si="613"/>
        <v>0</v>
      </c>
      <c r="H1438" s="11">
        <v>36.29</v>
      </c>
      <c r="I1438" s="240">
        <f>I1431</f>
        <v>-713444.32</v>
      </c>
      <c r="J1438" s="109">
        <f t="shared" ref="J1438:L1438" si="614">J1431</f>
        <v>-3582852.32</v>
      </c>
      <c r="K1438" s="229">
        <f t="shared" si="614"/>
        <v>-3707823.4591999999</v>
      </c>
      <c r="L1438" s="109">
        <f t="shared" si="614"/>
        <v>-3928605.8051200002</v>
      </c>
    </row>
    <row r="1439" spans="1:12" x14ac:dyDescent="0.2">
      <c r="A1439" s="5"/>
      <c r="B1439" s="7"/>
      <c r="C1439" s="29"/>
      <c r="D1439" s="11"/>
      <c r="E1439" s="9"/>
      <c r="F1439" s="11"/>
      <c r="G1439" s="9"/>
      <c r="H1439" s="11"/>
      <c r="I1439" s="240"/>
      <c r="J1439" s="162"/>
      <c r="K1439" s="169"/>
      <c r="L1439" s="162"/>
    </row>
    <row r="1440" spans="1:12" s="3" customFormat="1" ht="15" x14ac:dyDescent="0.25">
      <c r="A1440" s="18"/>
      <c r="B1440" s="19" t="s">
        <v>435</v>
      </c>
      <c r="C1440" s="28">
        <f>C1437+C1438</f>
        <v>4833657</v>
      </c>
      <c r="D1440" s="36">
        <f t="shared" ref="D1440:L1440" si="615">D1437+D1438</f>
        <v>36937.77999999997</v>
      </c>
      <c r="E1440" s="28">
        <f t="shared" si="615"/>
        <v>12049.71</v>
      </c>
      <c r="F1440" s="36">
        <f t="shared" si="615"/>
        <v>1715713.1500000004</v>
      </c>
      <c r="G1440" s="28">
        <f t="shared" si="615"/>
        <v>4945925.6899999995</v>
      </c>
      <c r="H1440" s="21">
        <v>35.49</v>
      </c>
      <c r="I1440" s="243">
        <f t="shared" si="615"/>
        <v>-653444.31999999995</v>
      </c>
      <c r="J1440" s="172">
        <f t="shared" si="615"/>
        <v>4180212.68</v>
      </c>
      <c r="K1440" s="236">
        <f t="shared" si="615"/>
        <v>4415125.4408</v>
      </c>
      <c r="L1440" s="172">
        <f t="shared" si="615"/>
        <v>4856637.9848800004</v>
      </c>
    </row>
    <row r="1441" spans="1:12" s="3" customFormat="1" ht="15" x14ac:dyDescent="0.25">
      <c r="A1441" s="18"/>
      <c r="B1441" s="19"/>
      <c r="C1441" s="28"/>
      <c r="D1441" s="21"/>
      <c r="E1441" s="20"/>
      <c r="F1441" s="21"/>
      <c r="G1441" s="20"/>
      <c r="H1441" s="21"/>
      <c r="I1441" s="238"/>
      <c r="J1441" s="168"/>
      <c r="K1441" s="178"/>
      <c r="L1441" s="168"/>
    </row>
    <row r="1442" spans="1:12" s="3" customFormat="1" ht="15" x14ac:dyDescent="0.25">
      <c r="A1442" s="18"/>
      <c r="B1442" s="19" t="s">
        <v>436</v>
      </c>
      <c r="C1442" s="28">
        <f>C1440</f>
        <v>4833657</v>
      </c>
      <c r="D1442" s="36">
        <f t="shared" ref="D1442:G1442" si="616">D1440</f>
        <v>36937.77999999997</v>
      </c>
      <c r="E1442" s="28">
        <f t="shared" si="616"/>
        <v>12049.71</v>
      </c>
      <c r="F1442" s="36">
        <f t="shared" si="616"/>
        <v>1715713.1500000004</v>
      </c>
      <c r="G1442" s="28">
        <f t="shared" si="616"/>
        <v>4945925.6899999995</v>
      </c>
      <c r="H1442" s="21">
        <v>35.49</v>
      </c>
      <c r="I1442" s="243">
        <f t="shared" ref="I1442:L1442" si="617">I1440</f>
        <v>-653444.31999999995</v>
      </c>
      <c r="J1442" s="172">
        <f t="shared" si="617"/>
        <v>4180212.68</v>
      </c>
      <c r="K1442" s="236">
        <f t="shared" si="617"/>
        <v>4415125.4408</v>
      </c>
      <c r="L1442" s="172">
        <f t="shared" si="617"/>
        <v>4856637.9848800004</v>
      </c>
    </row>
    <row r="1443" spans="1:12" ht="15" thickBot="1" x14ac:dyDescent="0.25">
      <c r="A1443" s="6"/>
      <c r="B1443" s="8"/>
      <c r="C1443" s="30"/>
      <c r="D1443" s="12"/>
      <c r="E1443" s="10"/>
      <c r="F1443" s="12"/>
      <c r="G1443" s="10"/>
      <c r="H1443" s="12"/>
      <c r="I1443" s="244"/>
      <c r="J1443" s="174"/>
      <c r="K1443" s="248"/>
      <c r="L1443" s="17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workbookViewId="0">
      <selection activeCell="F15" sqref="F15"/>
    </sheetView>
  </sheetViews>
  <sheetFormatPr defaultRowHeight="15" x14ac:dyDescent="0.2"/>
  <cols>
    <col min="1" max="1" width="48.5703125" style="201" customWidth="1"/>
    <col min="2" max="2" width="22.7109375" style="201" customWidth="1"/>
    <col min="3" max="3" width="8.140625" style="201" customWidth="1"/>
    <col min="4" max="4" width="23.7109375" style="220" customWidth="1"/>
    <col min="5" max="5" width="9" style="201" customWidth="1"/>
    <col min="6" max="6" width="23.85546875" style="201" customWidth="1"/>
    <col min="7" max="7" width="9.28515625" style="212" customWidth="1"/>
    <col min="8" max="8" width="24" style="201" customWidth="1"/>
    <col min="9" max="9" width="9.140625" style="212"/>
    <col min="10" max="259" width="9.140625" style="201"/>
    <col min="260" max="260" width="48.140625" style="201" customWidth="1"/>
    <col min="261" max="261" width="23.42578125" style="201" customWidth="1"/>
    <col min="262" max="262" width="20.140625" style="201" customWidth="1"/>
    <col min="263" max="263" width="23.85546875" style="201" customWidth="1"/>
    <col min="264" max="264" width="24" style="201" customWidth="1"/>
    <col min="265" max="515" width="9.140625" style="201"/>
    <col min="516" max="516" width="48.140625" style="201" customWidth="1"/>
    <col min="517" max="517" width="23.42578125" style="201" customWidth="1"/>
    <col min="518" max="518" width="20.140625" style="201" customWidth="1"/>
    <col min="519" max="519" width="23.85546875" style="201" customWidth="1"/>
    <col min="520" max="520" width="24" style="201" customWidth="1"/>
    <col min="521" max="771" width="9.140625" style="201"/>
    <col min="772" max="772" width="48.140625" style="201" customWidth="1"/>
    <col min="773" max="773" width="23.42578125" style="201" customWidth="1"/>
    <col min="774" max="774" width="20.140625" style="201" customWidth="1"/>
    <col min="775" max="775" width="23.85546875" style="201" customWidth="1"/>
    <col min="776" max="776" width="24" style="201" customWidth="1"/>
    <col min="777" max="1027" width="9.140625" style="201"/>
    <col min="1028" max="1028" width="48.140625" style="201" customWidth="1"/>
    <col min="1029" max="1029" width="23.42578125" style="201" customWidth="1"/>
    <col min="1030" max="1030" width="20.140625" style="201" customWidth="1"/>
    <col min="1031" max="1031" width="23.85546875" style="201" customWidth="1"/>
    <col min="1032" max="1032" width="24" style="201" customWidth="1"/>
    <col min="1033" max="1283" width="9.140625" style="201"/>
    <col min="1284" max="1284" width="48.140625" style="201" customWidth="1"/>
    <col min="1285" max="1285" width="23.42578125" style="201" customWidth="1"/>
    <col min="1286" max="1286" width="20.140625" style="201" customWidth="1"/>
    <col min="1287" max="1287" width="23.85546875" style="201" customWidth="1"/>
    <col min="1288" max="1288" width="24" style="201" customWidth="1"/>
    <col min="1289" max="1539" width="9.140625" style="201"/>
    <col min="1540" max="1540" width="48.140625" style="201" customWidth="1"/>
    <col min="1541" max="1541" width="23.42578125" style="201" customWidth="1"/>
    <col min="1542" max="1542" width="20.140625" style="201" customWidth="1"/>
    <col min="1543" max="1543" width="23.85546875" style="201" customWidth="1"/>
    <col min="1544" max="1544" width="24" style="201" customWidth="1"/>
    <col min="1545" max="1795" width="9.140625" style="201"/>
    <col min="1796" max="1796" width="48.140625" style="201" customWidth="1"/>
    <col min="1797" max="1797" width="23.42578125" style="201" customWidth="1"/>
    <col min="1798" max="1798" width="20.140625" style="201" customWidth="1"/>
    <col min="1799" max="1799" width="23.85546875" style="201" customWidth="1"/>
    <col min="1800" max="1800" width="24" style="201" customWidth="1"/>
    <col min="1801" max="2051" width="9.140625" style="201"/>
    <col min="2052" max="2052" width="48.140625" style="201" customWidth="1"/>
    <col min="2053" max="2053" width="23.42578125" style="201" customWidth="1"/>
    <col min="2054" max="2054" width="20.140625" style="201" customWidth="1"/>
    <col min="2055" max="2055" width="23.85546875" style="201" customWidth="1"/>
    <col min="2056" max="2056" width="24" style="201" customWidth="1"/>
    <col min="2057" max="2307" width="9.140625" style="201"/>
    <col min="2308" max="2308" width="48.140625" style="201" customWidth="1"/>
    <col min="2309" max="2309" width="23.42578125" style="201" customWidth="1"/>
    <col min="2310" max="2310" width="20.140625" style="201" customWidth="1"/>
    <col min="2311" max="2311" width="23.85546875" style="201" customWidth="1"/>
    <col min="2312" max="2312" width="24" style="201" customWidth="1"/>
    <col min="2313" max="2563" width="9.140625" style="201"/>
    <col min="2564" max="2564" width="48.140625" style="201" customWidth="1"/>
    <col min="2565" max="2565" width="23.42578125" style="201" customWidth="1"/>
    <col min="2566" max="2566" width="20.140625" style="201" customWidth="1"/>
    <col min="2567" max="2567" width="23.85546875" style="201" customWidth="1"/>
    <col min="2568" max="2568" width="24" style="201" customWidth="1"/>
    <col min="2569" max="2819" width="9.140625" style="201"/>
    <col min="2820" max="2820" width="48.140625" style="201" customWidth="1"/>
    <col min="2821" max="2821" width="23.42578125" style="201" customWidth="1"/>
    <col min="2822" max="2822" width="20.140625" style="201" customWidth="1"/>
    <col min="2823" max="2823" width="23.85546875" style="201" customWidth="1"/>
    <col min="2824" max="2824" width="24" style="201" customWidth="1"/>
    <col min="2825" max="3075" width="9.140625" style="201"/>
    <col min="3076" max="3076" width="48.140625" style="201" customWidth="1"/>
    <col min="3077" max="3077" width="23.42578125" style="201" customWidth="1"/>
    <col min="3078" max="3078" width="20.140625" style="201" customWidth="1"/>
    <col min="3079" max="3079" width="23.85546875" style="201" customWidth="1"/>
    <col min="3080" max="3080" width="24" style="201" customWidth="1"/>
    <col min="3081" max="3331" width="9.140625" style="201"/>
    <col min="3332" max="3332" width="48.140625" style="201" customWidth="1"/>
    <col min="3333" max="3333" width="23.42578125" style="201" customWidth="1"/>
    <col min="3334" max="3334" width="20.140625" style="201" customWidth="1"/>
    <col min="3335" max="3335" width="23.85546875" style="201" customWidth="1"/>
    <col min="3336" max="3336" width="24" style="201" customWidth="1"/>
    <col min="3337" max="3587" width="9.140625" style="201"/>
    <col min="3588" max="3588" width="48.140625" style="201" customWidth="1"/>
    <col min="3589" max="3589" width="23.42578125" style="201" customWidth="1"/>
    <col min="3590" max="3590" width="20.140625" style="201" customWidth="1"/>
    <col min="3591" max="3591" width="23.85546875" style="201" customWidth="1"/>
    <col min="3592" max="3592" width="24" style="201" customWidth="1"/>
    <col min="3593" max="3843" width="9.140625" style="201"/>
    <col min="3844" max="3844" width="48.140625" style="201" customWidth="1"/>
    <col min="3845" max="3845" width="23.42578125" style="201" customWidth="1"/>
    <col min="3846" max="3846" width="20.140625" style="201" customWidth="1"/>
    <col min="3847" max="3847" width="23.85546875" style="201" customWidth="1"/>
    <col min="3848" max="3848" width="24" style="201" customWidth="1"/>
    <col min="3849" max="4099" width="9.140625" style="201"/>
    <col min="4100" max="4100" width="48.140625" style="201" customWidth="1"/>
    <col min="4101" max="4101" width="23.42578125" style="201" customWidth="1"/>
    <col min="4102" max="4102" width="20.140625" style="201" customWidth="1"/>
    <col min="4103" max="4103" width="23.85546875" style="201" customWidth="1"/>
    <col min="4104" max="4104" width="24" style="201" customWidth="1"/>
    <col min="4105" max="4355" width="9.140625" style="201"/>
    <col min="4356" max="4356" width="48.140625" style="201" customWidth="1"/>
    <col min="4357" max="4357" width="23.42578125" style="201" customWidth="1"/>
    <col min="4358" max="4358" width="20.140625" style="201" customWidth="1"/>
    <col min="4359" max="4359" width="23.85546875" style="201" customWidth="1"/>
    <col min="4360" max="4360" width="24" style="201" customWidth="1"/>
    <col min="4361" max="4611" width="9.140625" style="201"/>
    <col min="4612" max="4612" width="48.140625" style="201" customWidth="1"/>
    <col min="4613" max="4613" width="23.42578125" style="201" customWidth="1"/>
    <col min="4614" max="4614" width="20.140625" style="201" customWidth="1"/>
    <col min="4615" max="4615" width="23.85546875" style="201" customWidth="1"/>
    <col min="4616" max="4616" width="24" style="201" customWidth="1"/>
    <col min="4617" max="4867" width="9.140625" style="201"/>
    <col min="4868" max="4868" width="48.140625" style="201" customWidth="1"/>
    <col min="4869" max="4869" width="23.42578125" style="201" customWidth="1"/>
    <col min="4870" max="4870" width="20.140625" style="201" customWidth="1"/>
    <col min="4871" max="4871" width="23.85546875" style="201" customWidth="1"/>
    <col min="4872" max="4872" width="24" style="201" customWidth="1"/>
    <col min="4873" max="5123" width="9.140625" style="201"/>
    <col min="5124" max="5124" width="48.140625" style="201" customWidth="1"/>
    <col min="5125" max="5125" width="23.42578125" style="201" customWidth="1"/>
    <col min="5126" max="5126" width="20.140625" style="201" customWidth="1"/>
    <col min="5127" max="5127" width="23.85546875" style="201" customWidth="1"/>
    <col min="5128" max="5128" width="24" style="201" customWidth="1"/>
    <col min="5129" max="5379" width="9.140625" style="201"/>
    <col min="5380" max="5380" width="48.140625" style="201" customWidth="1"/>
    <col min="5381" max="5381" width="23.42578125" style="201" customWidth="1"/>
    <col min="5382" max="5382" width="20.140625" style="201" customWidth="1"/>
    <col min="5383" max="5383" width="23.85546875" style="201" customWidth="1"/>
    <col min="5384" max="5384" width="24" style="201" customWidth="1"/>
    <col min="5385" max="5635" width="9.140625" style="201"/>
    <col min="5636" max="5636" width="48.140625" style="201" customWidth="1"/>
    <col min="5637" max="5637" width="23.42578125" style="201" customWidth="1"/>
    <col min="5638" max="5638" width="20.140625" style="201" customWidth="1"/>
    <col min="5639" max="5639" width="23.85546875" style="201" customWidth="1"/>
    <col min="5640" max="5640" width="24" style="201" customWidth="1"/>
    <col min="5641" max="5891" width="9.140625" style="201"/>
    <col min="5892" max="5892" width="48.140625" style="201" customWidth="1"/>
    <col min="5893" max="5893" width="23.42578125" style="201" customWidth="1"/>
    <col min="5894" max="5894" width="20.140625" style="201" customWidth="1"/>
    <col min="5895" max="5895" width="23.85546875" style="201" customWidth="1"/>
    <col min="5896" max="5896" width="24" style="201" customWidth="1"/>
    <col min="5897" max="6147" width="9.140625" style="201"/>
    <col min="6148" max="6148" width="48.140625" style="201" customWidth="1"/>
    <col min="6149" max="6149" width="23.42578125" style="201" customWidth="1"/>
    <col min="6150" max="6150" width="20.140625" style="201" customWidth="1"/>
    <col min="6151" max="6151" width="23.85546875" style="201" customWidth="1"/>
    <col min="6152" max="6152" width="24" style="201" customWidth="1"/>
    <col min="6153" max="6403" width="9.140625" style="201"/>
    <col min="6404" max="6404" width="48.140625" style="201" customWidth="1"/>
    <col min="6405" max="6405" width="23.42578125" style="201" customWidth="1"/>
    <col min="6406" max="6406" width="20.140625" style="201" customWidth="1"/>
    <col min="6407" max="6407" width="23.85546875" style="201" customWidth="1"/>
    <col min="6408" max="6408" width="24" style="201" customWidth="1"/>
    <col min="6409" max="6659" width="9.140625" style="201"/>
    <col min="6660" max="6660" width="48.140625" style="201" customWidth="1"/>
    <col min="6661" max="6661" width="23.42578125" style="201" customWidth="1"/>
    <col min="6662" max="6662" width="20.140625" style="201" customWidth="1"/>
    <col min="6663" max="6663" width="23.85546875" style="201" customWidth="1"/>
    <col min="6664" max="6664" width="24" style="201" customWidth="1"/>
    <col min="6665" max="6915" width="9.140625" style="201"/>
    <col min="6916" max="6916" width="48.140625" style="201" customWidth="1"/>
    <col min="6917" max="6917" width="23.42578125" style="201" customWidth="1"/>
    <col min="6918" max="6918" width="20.140625" style="201" customWidth="1"/>
    <col min="6919" max="6919" width="23.85546875" style="201" customWidth="1"/>
    <col min="6920" max="6920" width="24" style="201" customWidth="1"/>
    <col min="6921" max="7171" width="9.140625" style="201"/>
    <col min="7172" max="7172" width="48.140625" style="201" customWidth="1"/>
    <col min="7173" max="7173" width="23.42578125" style="201" customWidth="1"/>
    <col min="7174" max="7174" width="20.140625" style="201" customWidth="1"/>
    <col min="7175" max="7175" width="23.85546875" style="201" customWidth="1"/>
    <col min="7176" max="7176" width="24" style="201" customWidth="1"/>
    <col min="7177" max="7427" width="9.140625" style="201"/>
    <col min="7428" max="7428" width="48.140625" style="201" customWidth="1"/>
    <col min="7429" max="7429" width="23.42578125" style="201" customWidth="1"/>
    <col min="7430" max="7430" width="20.140625" style="201" customWidth="1"/>
    <col min="7431" max="7431" width="23.85546875" style="201" customWidth="1"/>
    <col min="7432" max="7432" width="24" style="201" customWidth="1"/>
    <col min="7433" max="7683" width="9.140625" style="201"/>
    <col min="7684" max="7684" width="48.140625" style="201" customWidth="1"/>
    <col min="7685" max="7685" width="23.42578125" style="201" customWidth="1"/>
    <col min="7686" max="7686" width="20.140625" style="201" customWidth="1"/>
    <col min="7687" max="7687" width="23.85546875" style="201" customWidth="1"/>
    <col min="7688" max="7688" width="24" style="201" customWidth="1"/>
    <col min="7689" max="7939" width="9.140625" style="201"/>
    <col min="7940" max="7940" width="48.140625" style="201" customWidth="1"/>
    <col min="7941" max="7941" width="23.42578125" style="201" customWidth="1"/>
    <col min="7942" max="7942" width="20.140625" style="201" customWidth="1"/>
    <col min="7943" max="7943" width="23.85546875" style="201" customWidth="1"/>
    <col min="7944" max="7944" width="24" style="201" customWidth="1"/>
    <col min="7945" max="8195" width="9.140625" style="201"/>
    <col min="8196" max="8196" width="48.140625" style="201" customWidth="1"/>
    <col min="8197" max="8197" width="23.42578125" style="201" customWidth="1"/>
    <col min="8198" max="8198" width="20.140625" style="201" customWidth="1"/>
    <col min="8199" max="8199" width="23.85546875" style="201" customWidth="1"/>
    <col min="8200" max="8200" width="24" style="201" customWidth="1"/>
    <col min="8201" max="8451" width="9.140625" style="201"/>
    <col min="8452" max="8452" width="48.140625" style="201" customWidth="1"/>
    <col min="8453" max="8453" width="23.42578125" style="201" customWidth="1"/>
    <col min="8454" max="8454" width="20.140625" style="201" customWidth="1"/>
    <col min="8455" max="8455" width="23.85546875" style="201" customWidth="1"/>
    <col min="8456" max="8456" width="24" style="201" customWidth="1"/>
    <col min="8457" max="8707" width="9.140625" style="201"/>
    <col min="8708" max="8708" width="48.140625" style="201" customWidth="1"/>
    <col min="8709" max="8709" width="23.42578125" style="201" customWidth="1"/>
    <col min="8710" max="8710" width="20.140625" style="201" customWidth="1"/>
    <col min="8711" max="8711" width="23.85546875" style="201" customWidth="1"/>
    <col min="8712" max="8712" width="24" style="201" customWidth="1"/>
    <col min="8713" max="8963" width="9.140625" style="201"/>
    <col min="8964" max="8964" width="48.140625" style="201" customWidth="1"/>
    <col min="8965" max="8965" width="23.42578125" style="201" customWidth="1"/>
    <col min="8966" max="8966" width="20.140625" style="201" customWidth="1"/>
    <col min="8967" max="8967" width="23.85546875" style="201" customWidth="1"/>
    <col min="8968" max="8968" width="24" style="201" customWidth="1"/>
    <col min="8969" max="9219" width="9.140625" style="201"/>
    <col min="9220" max="9220" width="48.140625" style="201" customWidth="1"/>
    <col min="9221" max="9221" width="23.42578125" style="201" customWidth="1"/>
    <col min="9222" max="9222" width="20.140625" style="201" customWidth="1"/>
    <col min="9223" max="9223" width="23.85546875" style="201" customWidth="1"/>
    <col min="9224" max="9224" width="24" style="201" customWidth="1"/>
    <col min="9225" max="9475" width="9.140625" style="201"/>
    <col min="9476" max="9476" width="48.140625" style="201" customWidth="1"/>
    <col min="9477" max="9477" width="23.42578125" style="201" customWidth="1"/>
    <col min="9478" max="9478" width="20.140625" style="201" customWidth="1"/>
    <col min="9479" max="9479" width="23.85546875" style="201" customWidth="1"/>
    <col min="9480" max="9480" width="24" style="201" customWidth="1"/>
    <col min="9481" max="9731" width="9.140625" style="201"/>
    <col min="9732" max="9732" width="48.140625" style="201" customWidth="1"/>
    <col min="9733" max="9733" width="23.42578125" style="201" customWidth="1"/>
    <col min="9734" max="9734" width="20.140625" style="201" customWidth="1"/>
    <col min="9735" max="9735" width="23.85546875" style="201" customWidth="1"/>
    <col min="9736" max="9736" width="24" style="201" customWidth="1"/>
    <col min="9737" max="9987" width="9.140625" style="201"/>
    <col min="9988" max="9988" width="48.140625" style="201" customWidth="1"/>
    <col min="9989" max="9989" width="23.42578125" style="201" customWidth="1"/>
    <col min="9990" max="9990" width="20.140625" style="201" customWidth="1"/>
    <col min="9991" max="9991" width="23.85546875" style="201" customWidth="1"/>
    <col min="9992" max="9992" width="24" style="201" customWidth="1"/>
    <col min="9993" max="10243" width="9.140625" style="201"/>
    <col min="10244" max="10244" width="48.140625" style="201" customWidth="1"/>
    <col min="10245" max="10245" width="23.42578125" style="201" customWidth="1"/>
    <col min="10246" max="10246" width="20.140625" style="201" customWidth="1"/>
    <col min="10247" max="10247" width="23.85546875" style="201" customWidth="1"/>
    <col min="10248" max="10248" width="24" style="201" customWidth="1"/>
    <col min="10249" max="10499" width="9.140625" style="201"/>
    <col min="10500" max="10500" width="48.140625" style="201" customWidth="1"/>
    <col min="10501" max="10501" width="23.42578125" style="201" customWidth="1"/>
    <col min="10502" max="10502" width="20.140625" style="201" customWidth="1"/>
    <col min="10503" max="10503" width="23.85546875" style="201" customWidth="1"/>
    <col min="10504" max="10504" width="24" style="201" customWidth="1"/>
    <col min="10505" max="10755" width="9.140625" style="201"/>
    <col min="10756" max="10756" width="48.140625" style="201" customWidth="1"/>
    <col min="10757" max="10757" width="23.42578125" style="201" customWidth="1"/>
    <col min="10758" max="10758" width="20.140625" style="201" customWidth="1"/>
    <col min="10759" max="10759" width="23.85546875" style="201" customWidth="1"/>
    <col min="10760" max="10760" width="24" style="201" customWidth="1"/>
    <col min="10761" max="11011" width="9.140625" style="201"/>
    <col min="11012" max="11012" width="48.140625" style="201" customWidth="1"/>
    <col min="11013" max="11013" width="23.42578125" style="201" customWidth="1"/>
    <col min="11014" max="11014" width="20.140625" style="201" customWidth="1"/>
    <col min="11015" max="11015" width="23.85546875" style="201" customWidth="1"/>
    <col min="11016" max="11016" width="24" style="201" customWidth="1"/>
    <col min="11017" max="11267" width="9.140625" style="201"/>
    <col min="11268" max="11268" width="48.140625" style="201" customWidth="1"/>
    <col min="11269" max="11269" width="23.42578125" style="201" customWidth="1"/>
    <col min="11270" max="11270" width="20.140625" style="201" customWidth="1"/>
    <col min="11271" max="11271" width="23.85546875" style="201" customWidth="1"/>
    <col min="11272" max="11272" width="24" style="201" customWidth="1"/>
    <col min="11273" max="11523" width="9.140625" style="201"/>
    <col min="11524" max="11524" width="48.140625" style="201" customWidth="1"/>
    <col min="11525" max="11525" width="23.42578125" style="201" customWidth="1"/>
    <col min="11526" max="11526" width="20.140625" style="201" customWidth="1"/>
    <col min="11527" max="11527" width="23.85546875" style="201" customWidth="1"/>
    <col min="11528" max="11528" width="24" style="201" customWidth="1"/>
    <col min="11529" max="11779" width="9.140625" style="201"/>
    <col min="11780" max="11780" width="48.140625" style="201" customWidth="1"/>
    <col min="11781" max="11781" width="23.42578125" style="201" customWidth="1"/>
    <col min="11782" max="11782" width="20.140625" style="201" customWidth="1"/>
    <col min="11783" max="11783" width="23.85546875" style="201" customWidth="1"/>
    <col min="11784" max="11784" width="24" style="201" customWidth="1"/>
    <col min="11785" max="12035" width="9.140625" style="201"/>
    <col min="12036" max="12036" width="48.140625" style="201" customWidth="1"/>
    <col min="12037" max="12037" width="23.42578125" style="201" customWidth="1"/>
    <col min="12038" max="12038" width="20.140625" style="201" customWidth="1"/>
    <col min="12039" max="12039" width="23.85546875" style="201" customWidth="1"/>
    <col min="12040" max="12040" width="24" style="201" customWidth="1"/>
    <col min="12041" max="12291" width="9.140625" style="201"/>
    <col min="12292" max="12292" width="48.140625" style="201" customWidth="1"/>
    <col min="12293" max="12293" width="23.42578125" style="201" customWidth="1"/>
    <col min="12294" max="12294" width="20.140625" style="201" customWidth="1"/>
    <col min="12295" max="12295" width="23.85546875" style="201" customWidth="1"/>
    <col min="12296" max="12296" width="24" style="201" customWidth="1"/>
    <col min="12297" max="12547" width="9.140625" style="201"/>
    <col min="12548" max="12548" width="48.140625" style="201" customWidth="1"/>
    <col min="12549" max="12549" width="23.42578125" style="201" customWidth="1"/>
    <col min="12550" max="12550" width="20.140625" style="201" customWidth="1"/>
    <col min="12551" max="12551" width="23.85546875" style="201" customWidth="1"/>
    <col min="12552" max="12552" width="24" style="201" customWidth="1"/>
    <col min="12553" max="12803" width="9.140625" style="201"/>
    <col min="12804" max="12804" width="48.140625" style="201" customWidth="1"/>
    <col min="12805" max="12805" width="23.42578125" style="201" customWidth="1"/>
    <col min="12806" max="12806" width="20.140625" style="201" customWidth="1"/>
    <col min="12807" max="12807" width="23.85546875" style="201" customWidth="1"/>
    <col min="12808" max="12808" width="24" style="201" customWidth="1"/>
    <col min="12809" max="13059" width="9.140625" style="201"/>
    <col min="13060" max="13060" width="48.140625" style="201" customWidth="1"/>
    <col min="13061" max="13061" width="23.42578125" style="201" customWidth="1"/>
    <col min="13062" max="13062" width="20.140625" style="201" customWidth="1"/>
    <col min="13063" max="13063" width="23.85546875" style="201" customWidth="1"/>
    <col min="13064" max="13064" width="24" style="201" customWidth="1"/>
    <col min="13065" max="13315" width="9.140625" style="201"/>
    <col min="13316" max="13316" width="48.140625" style="201" customWidth="1"/>
    <col min="13317" max="13317" width="23.42578125" style="201" customWidth="1"/>
    <col min="13318" max="13318" width="20.140625" style="201" customWidth="1"/>
    <col min="13319" max="13319" width="23.85546875" style="201" customWidth="1"/>
    <col min="13320" max="13320" width="24" style="201" customWidth="1"/>
    <col min="13321" max="13571" width="9.140625" style="201"/>
    <col min="13572" max="13572" width="48.140625" style="201" customWidth="1"/>
    <col min="13573" max="13573" width="23.42578125" style="201" customWidth="1"/>
    <col min="13574" max="13574" width="20.140625" style="201" customWidth="1"/>
    <col min="13575" max="13575" width="23.85546875" style="201" customWidth="1"/>
    <col min="13576" max="13576" width="24" style="201" customWidth="1"/>
    <col min="13577" max="13827" width="9.140625" style="201"/>
    <col min="13828" max="13828" width="48.140625" style="201" customWidth="1"/>
    <col min="13829" max="13829" width="23.42578125" style="201" customWidth="1"/>
    <col min="13830" max="13830" width="20.140625" style="201" customWidth="1"/>
    <col min="13831" max="13831" width="23.85546875" style="201" customWidth="1"/>
    <col min="13832" max="13832" width="24" style="201" customWidth="1"/>
    <col min="13833" max="14083" width="9.140625" style="201"/>
    <col min="14084" max="14084" width="48.140625" style="201" customWidth="1"/>
    <col min="14085" max="14085" width="23.42578125" style="201" customWidth="1"/>
    <col min="14086" max="14086" width="20.140625" style="201" customWidth="1"/>
    <col min="14087" max="14087" width="23.85546875" style="201" customWidth="1"/>
    <col min="14088" max="14088" width="24" style="201" customWidth="1"/>
    <col min="14089" max="14339" width="9.140625" style="201"/>
    <col min="14340" max="14340" width="48.140625" style="201" customWidth="1"/>
    <col min="14341" max="14341" width="23.42578125" style="201" customWidth="1"/>
    <col min="14342" max="14342" width="20.140625" style="201" customWidth="1"/>
    <col min="14343" max="14343" width="23.85546875" style="201" customWidth="1"/>
    <col min="14344" max="14344" width="24" style="201" customWidth="1"/>
    <col min="14345" max="14595" width="9.140625" style="201"/>
    <col min="14596" max="14596" width="48.140625" style="201" customWidth="1"/>
    <col min="14597" max="14597" width="23.42578125" style="201" customWidth="1"/>
    <col min="14598" max="14598" width="20.140625" style="201" customWidth="1"/>
    <col min="14599" max="14599" width="23.85546875" style="201" customWidth="1"/>
    <col min="14600" max="14600" width="24" style="201" customWidth="1"/>
    <col min="14601" max="14851" width="9.140625" style="201"/>
    <col min="14852" max="14852" width="48.140625" style="201" customWidth="1"/>
    <col min="14853" max="14853" width="23.42578125" style="201" customWidth="1"/>
    <col min="14854" max="14854" width="20.140625" style="201" customWidth="1"/>
    <col min="14855" max="14855" width="23.85546875" style="201" customWidth="1"/>
    <col min="14856" max="14856" width="24" style="201" customWidth="1"/>
    <col min="14857" max="15107" width="9.140625" style="201"/>
    <col min="15108" max="15108" width="48.140625" style="201" customWidth="1"/>
    <col min="15109" max="15109" width="23.42578125" style="201" customWidth="1"/>
    <col min="15110" max="15110" width="20.140625" style="201" customWidth="1"/>
    <col min="15111" max="15111" width="23.85546875" style="201" customWidth="1"/>
    <col min="15112" max="15112" width="24" style="201" customWidth="1"/>
    <col min="15113" max="15363" width="9.140625" style="201"/>
    <col min="15364" max="15364" width="48.140625" style="201" customWidth="1"/>
    <col min="15365" max="15365" width="23.42578125" style="201" customWidth="1"/>
    <col min="15366" max="15366" width="20.140625" style="201" customWidth="1"/>
    <col min="15367" max="15367" width="23.85546875" style="201" customWidth="1"/>
    <col min="15368" max="15368" width="24" style="201" customWidth="1"/>
    <col min="15369" max="15619" width="9.140625" style="201"/>
    <col min="15620" max="15620" width="48.140625" style="201" customWidth="1"/>
    <col min="15621" max="15621" width="23.42578125" style="201" customWidth="1"/>
    <col min="15622" max="15622" width="20.140625" style="201" customWidth="1"/>
    <col min="15623" max="15623" width="23.85546875" style="201" customWidth="1"/>
    <col min="15624" max="15624" width="24" style="201" customWidth="1"/>
    <col min="15625" max="15875" width="9.140625" style="201"/>
    <col min="15876" max="15876" width="48.140625" style="201" customWidth="1"/>
    <col min="15877" max="15877" width="23.42578125" style="201" customWidth="1"/>
    <col min="15878" max="15878" width="20.140625" style="201" customWidth="1"/>
    <col min="15879" max="15879" width="23.85546875" style="201" customWidth="1"/>
    <col min="15880" max="15880" width="24" style="201" customWidth="1"/>
    <col min="15881" max="16131" width="9.140625" style="201"/>
    <col min="16132" max="16132" width="48.140625" style="201" customWidth="1"/>
    <col min="16133" max="16133" width="23.42578125" style="201" customWidth="1"/>
    <col min="16134" max="16134" width="20.140625" style="201" customWidth="1"/>
    <col min="16135" max="16135" width="23.85546875" style="201" customWidth="1"/>
    <col min="16136" max="16136" width="24" style="201" customWidth="1"/>
    <col min="16137" max="16384" width="9.140625" style="201"/>
  </cols>
  <sheetData>
    <row r="1" spans="1:9" s="189" customFormat="1" ht="15.75" x14ac:dyDescent="0.25">
      <c r="A1" s="189" t="s">
        <v>1060</v>
      </c>
      <c r="D1" s="215"/>
      <c r="G1" s="190"/>
      <c r="I1" s="190"/>
    </row>
    <row r="2" spans="1:9" s="189" customFormat="1" ht="16.5" thickBot="1" x14ac:dyDescent="0.3">
      <c r="D2" s="215"/>
      <c r="G2" s="190"/>
      <c r="I2" s="190"/>
    </row>
    <row r="3" spans="1:9" s="189" customFormat="1" ht="48" thickBot="1" x14ac:dyDescent="0.3">
      <c r="A3" s="191" t="s">
        <v>1061</v>
      </c>
      <c r="B3" s="192" t="s">
        <v>1074</v>
      </c>
      <c r="C3" s="192" t="s">
        <v>1062</v>
      </c>
      <c r="D3" s="216" t="s">
        <v>1075</v>
      </c>
      <c r="E3" s="192" t="s">
        <v>1062</v>
      </c>
      <c r="F3" s="192" t="s">
        <v>1076</v>
      </c>
      <c r="G3" s="193" t="s">
        <v>1062</v>
      </c>
      <c r="H3" s="194" t="s">
        <v>1077</v>
      </c>
      <c r="I3" s="193" t="s">
        <v>1062</v>
      </c>
    </row>
    <row r="4" spans="1:9" x14ac:dyDescent="0.2">
      <c r="A4" s="195" t="s">
        <v>1065</v>
      </c>
      <c r="B4" s="196">
        <f>'All Departments'!C459</f>
        <v>23927732</v>
      </c>
      <c r="C4" s="197">
        <f>B4/B14*100</f>
        <v>17.975293265634352</v>
      </c>
      <c r="D4" s="217">
        <f>'All Departments'!J459</f>
        <v>23861493.719999999</v>
      </c>
      <c r="E4" s="197">
        <f>D4/D14*100</f>
        <v>16.54054411407261</v>
      </c>
      <c r="F4" s="196">
        <f>'All Departments'!K459</f>
        <v>25050247.343199998</v>
      </c>
      <c r="G4" s="198">
        <f>F4/F14*100</f>
        <v>17.148638143895809</v>
      </c>
      <c r="H4" s="199">
        <f>'All Departments'!L459</f>
        <v>26452462.183792002</v>
      </c>
      <c r="I4" s="200">
        <f>H4/H14*100</f>
        <v>16.859877783477028</v>
      </c>
    </row>
    <row r="5" spans="1:9" x14ac:dyDescent="0.2">
      <c r="A5" s="195" t="s">
        <v>1066</v>
      </c>
      <c r="B5" s="196">
        <f>'All Departments'!C570</f>
        <v>6434012</v>
      </c>
      <c r="C5" s="197">
        <f>B5/B14*100</f>
        <v>4.833439816803808</v>
      </c>
      <c r="D5" s="217">
        <f>'All Departments'!J570</f>
        <v>6885143</v>
      </c>
      <c r="E5" s="197">
        <f>D5/D14*100</f>
        <v>4.7727109148973357</v>
      </c>
      <c r="F5" s="196">
        <f>'All Departments'!K570</f>
        <v>5228177.58</v>
      </c>
      <c r="G5" s="198">
        <f>F5/F14*100</f>
        <v>3.5790515056844914</v>
      </c>
      <c r="H5" s="199">
        <f>'All Departments'!L570</f>
        <v>8641868.2347999997</v>
      </c>
      <c r="I5" s="198">
        <f>H5/H14*100</f>
        <v>5.5080257273334068</v>
      </c>
    </row>
    <row r="6" spans="1:9" x14ac:dyDescent="0.2">
      <c r="A6" s="195" t="s">
        <v>1067</v>
      </c>
      <c r="B6" s="196">
        <f>'All Departments'!C679</f>
        <v>17398933</v>
      </c>
      <c r="C6" s="197">
        <f>B6/B14*100</f>
        <v>13.070646360638078</v>
      </c>
      <c r="D6" s="217">
        <f>'All Departments'!J679</f>
        <v>17558703.48</v>
      </c>
      <c r="E6" s="197">
        <f>D6/D14*100</f>
        <v>12.171514193741777</v>
      </c>
      <c r="F6" s="196">
        <f>'All Departments'!K679</f>
        <v>18407444.948799998</v>
      </c>
      <c r="G6" s="198">
        <f>F6/F14*100</f>
        <v>12.601177475652426</v>
      </c>
      <c r="H6" s="199">
        <f>'All Departments'!L679</f>
        <v>19505891.645728</v>
      </c>
      <c r="I6" s="198">
        <f>H6/H14*100</f>
        <v>12.432375743314497</v>
      </c>
    </row>
    <row r="7" spans="1:9" x14ac:dyDescent="0.2">
      <c r="A7" s="195" t="s">
        <v>1068</v>
      </c>
      <c r="B7" s="196">
        <f>'All Departments'!C765</f>
        <v>13214386</v>
      </c>
      <c r="C7" s="197">
        <f>B7/B14*100</f>
        <v>9.9270780730615371</v>
      </c>
      <c r="D7" s="217">
        <f>'All Departments'!J765</f>
        <v>13294642.98</v>
      </c>
      <c r="E7" s="197">
        <f>D7/D14*100</f>
        <v>9.215710938801017</v>
      </c>
      <c r="F7" s="196">
        <f>'All Departments'!K765</f>
        <v>14092321.558800003</v>
      </c>
      <c r="G7" s="198">
        <f>F7/F14*100</f>
        <v>9.6471751239966803</v>
      </c>
      <c r="H7" s="199">
        <f>'All Departments'!L765</f>
        <v>14937860.852327999</v>
      </c>
      <c r="I7" s="198">
        <f>H7/H14*100</f>
        <v>9.5208720672947535</v>
      </c>
    </row>
    <row r="8" spans="1:9" x14ac:dyDescent="0.2">
      <c r="A8" s="195" t="s">
        <v>708</v>
      </c>
      <c r="B8" s="196">
        <f>'All Departments'!C864</f>
        <v>35678565</v>
      </c>
      <c r="C8" s="197">
        <f>B8/B14*100</f>
        <v>26.802902555578502</v>
      </c>
      <c r="D8" s="217">
        <f>'All Departments'!J864</f>
        <v>42718674.799999997</v>
      </c>
      <c r="E8" s="197">
        <f>D8/D14*100</f>
        <v>29.612149738634297</v>
      </c>
      <c r="F8" s="196">
        <f>'All Departments'!K864</f>
        <v>43661317.988000005</v>
      </c>
      <c r="G8" s="198">
        <f>F8/F14*100</f>
        <v>29.889211583574554</v>
      </c>
      <c r="H8" s="199">
        <f>'All Departments'!L864</f>
        <v>45166997.067280002</v>
      </c>
      <c r="I8" s="198">
        <f>H8/H14*100</f>
        <v>28.787870297669304</v>
      </c>
    </row>
    <row r="9" spans="1:9" x14ac:dyDescent="0.2">
      <c r="A9" s="195" t="s">
        <v>1069</v>
      </c>
      <c r="B9" s="196">
        <f>'All Departments'!C1001</f>
        <v>17375457</v>
      </c>
      <c r="C9" s="197">
        <f>B9/B14*100</f>
        <v>13.053010423195113</v>
      </c>
      <c r="D9" s="217">
        <f>'All Departments'!J1001</f>
        <v>17547814.899999999</v>
      </c>
      <c r="E9" s="197">
        <f>D9/D14*100</f>
        <v>12.163966341124373</v>
      </c>
      <c r="F9" s="196">
        <f>'All Departments'!K1001</f>
        <v>17648762.294</v>
      </c>
      <c r="G9" s="198">
        <f>F9/F14*100</f>
        <v>12.081806383823782</v>
      </c>
      <c r="H9" s="199">
        <f>'All Departments'!L1001</f>
        <v>18707688.031640001</v>
      </c>
      <c r="I9" s="198">
        <f>H9/H14*100</f>
        <v>11.923628569370926</v>
      </c>
    </row>
    <row r="10" spans="1:9" x14ac:dyDescent="0.2">
      <c r="A10" s="195" t="s">
        <v>1070</v>
      </c>
      <c r="B10" s="196">
        <f>'All Departments'!C1178</f>
        <v>8601761</v>
      </c>
      <c r="C10" s="197">
        <f>B10/B14*100</f>
        <v>6.4619236196684335</v>
      </c>
      <c r="D10" s="217">
        <f>'All Departments'!J1178</f>
        <v>10522894.6</v>
      </c>
      <c r="E10" s="197">
        <f>D10/D14*100</f>
        <v>7.2943632272756327</v>
      </c>
      <c r="F10" s="196">
        <f>'All Departments'!K1178</f>
        <v>10571268.276000001</v>
      </c>
      <c r="G10" s="198">
        <f>F10/F14*100</f>
        <v>7.2367690387847334</v>
      </c>
      <c r="H10" s="199">
        <f>'All Departments'!L1178</f>
        <v>11205544.37256</v>
      </c>
      <c r="I10" s="198">
        <f>H10/H14*100</f>
        <v>7.142023578222835</v>
      </c>
    </row>
    <row r="11" spans="1:9" x14ac:dyDescent="0.2">
      <c r="A11" s="202" t="s">
        <v>1071</v>
      </c>
      <c r="B11" s="203">
        <f>'All Departments'!C1301</f>
        <v>2780646</v>
      </c>
      <c r="C11" s="204">
        <f>B11/B14*100</f>
        <v>2.0889120338656877</v>
      </c>
      <c r="D11" s="218">
        <f>'All Departments'!J1301</f>
        <v>4108201</v>
      </c>
      <c r="E11" s="204">
        <f>D11/D14*100</f>
        <v>2.8477630389509923</v>
      </c>
      <c r="F11" s="203">
        <f>'All Departments'!K1301</f>
        <v>3294693.0599999996</v>
      </c>
      <c r="G11" s="198">
        <f>F11/F14*100</f>
        <v>2.2554467549591615</v>
      </c>
      <c r="H11" s="205">
        <f>'All Departments'!L1301</f>
        <v>3492374.6436000001</v>
      </c>
      <c r="I11" s="198">
        <f>H11/H14*100</f>
        <v>2.2259179223508285</v>
      </c>
    </row>
    <row r="12" spans="1:9" x14ac:dyDescent="0.2">
      <c r="A12" s="202" t="s">
        <v>1072</v>
      </c>
      <c r="B12" s="203">
        <f>'All Departments'!C1409</f>
        <v>7703065</v>
      </c>
      <c r="C12" s="204">
        <f>B12/B14*100</f>
        <v>5.7867938515544921</v>
      </c>
      <c r="D12" s="218">
        <f>'All Departments'!J1409</f>
        <v>7763065</v>
      </c>
      <c r="E12" s="204">
        <f>D12/D14*100</f>
        <v>5.3812774925019697</v>
      </c>
      <c r="F12" s="203">
        <f>'All Departments'!K1409</f>
        <v>8122948.8999999994</v>
      </c>
      <c r="G12" s="198">
        <f>F12/F14*100</f>
        <v>5.5607239896283671</v>
      </c>
      <c r="H12" s="205">
        <f>'All Departments'!L1409</f>
        <v>8785243.790000001</v>
      </c>
      <c r="I12" s="198">
        <f>H12/H14*100</f>
        <v>5.5994083109664459</v>
      </c>
    </row>
    <row r="13" spans="1:9" ht="15.75" thickBot="1" x14ac:dyDescent="0.25">
      <c r="A13" s="202"/>
      <c r="B13" s="202"/>
      <c r="C13" s="204"/>
      <c r="D13" s="218"/>
      <c r="E13" s="204"/>
      <c r="F13" s="202"/>
      <c r="G13" s="206"/>
      <c r="H13" s="207"/>
      <c r="I13" s="206"/>
    </row>
    <row r="14" spans="1:9" s="189" customFormat="1" ht="16.5" thickBot="1" x14ac:dyDescent="0.3">
      <c r="A14" s="191" t="s">
        <v>1073</v>
      </c>
      <c r="B14" s="208">
        <f>SUM(B4:B13)</f>
        <v>133114557</v>
      </c>
      <c r="C14" s="209">
        <f>SUM(C4:C12)</f>
        <v>100.00000000000001</v>
      </c>
      <c r="D14" s="219">
        <f>SUM(D4:D13)</f>
        <v>144260633.47999999</v>
      </c>
      <c r="E14" s="209">
        <f>SUM(E4:E12)</f>
        <v>100</v>
      </c>
      <c r="F14" s="208">
        <f>SUM(F4:F13)</f>
        <v>146077181.9488</v>
      </c>
      <c r="G14" s="210">
        <f>F14/F14*100</f>
        <v>100</v>
      </c>
      <c r="H14" s="211">
        <f>SUM(H4:H13)</f>
        <v>156895930.82172796</v>
      </c>
      <c r="I14" s="210">
        <f>H14/H14*100</f>
        <v>100</v>
      </c>
    </row>
    <row r="15" spans="1:9" x14ac:dyDescent="0.2">
      <c r="B15" s="212"/>
      <c r="D15" s="220">
        <f>D14-'Executive summary'!D6</f>
        <v>0</v>
      </c>
      <c r="F15" s="212">
        <f>F14-'Executive summary'!F6</f>
        <v>0</v>
      </c>
      <c r="H15" s="212">
        <f>H14-'Executive summary'!H6</f>
        <v>0</v>
      </c>
    </row>
    <row r="16" spans="1:9" x14ac:dyDescent="0.2">
      <c r="A16" s="213"/>
      <c r="B16" s="213"/>
      <c r="F16" s="213"/>
      <c r="H16" s="213"/>
    </row>
    <row r="17" spans="2:11" x14ac:dyDescent="0.2">
      <c r="B17" s="213"/>
      <c r="K17" s="214"/>
    </row>
    <row r="18" spans="2:11" x14ac:dyDescent="0.2">
      <c r="B18" s="213"/>
      <c r="F18" s="214"/>
    </row>
    <row r="19" spans="2:11" x14ac:dyDescent="0.2">
      <c r="B19" s="213"/>
    </row>
    <row r="21" spans="2:11" x14ac:dyDescent="0.2">
      <c r="C21" s="214"/>
      <c r="E21" s="214"/>
      <c r="F21" s="21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0" sqref="F20"/>
    </sheetView>
  </sheetViews>
  <sheetFormatPr defaultRowHeight="15" x14ac:dyDescent="0.2"/>
  <cols>
    <col min="1" max="1" width="60.28515625" style="201" customWidth="1"/>
    <col min="2" max="2" width="15.5703125" style="212" customWidth="1"/>
    <col min="3" max="3" width="8.140625" style="212" customWidth="1"/>
    <col min="4" max="4" width="16.7109375" style="212" customWidth="1"/>
    <col min="5" max="5" width="8.140625" style="212" customWidth="1"/>
    <col min="6" max="6" width="15.5703125" style="212" customWidth="1"/>
    <col min="7" max="7" width="9.28515625" style="212" customWidth="1"/>
    <col min="8" max="8" width="24" style="212" customWidth="1"/>
    <col min="9" max="9" width="9.140625" style="212"/>
    <col min="10" max="259" width="9.140625" style="201"/>
    <col min="260" max="260" width="48.140625" style="201" customWidth="1"/>
    <col min="261" max="261" width="23.42578125" style="201" customWidth="1"/>
    <col min="262" max="262" width="20.140625" style="201" customWidth="1"/>
    <col min="263" max="263" width="23.85546875" style="201" customWidth="1"/>
    <col min="264" max="264" width="24" style="201" customWidth="1"/>
    <col min="265" max="515" width="9.140625" style="201"/>
    <col min="516" max="516" width="48.140625" style="201" customWidth="1"/>
    <col min="517" max="517" width="23.42578125" style="201" customWidth="1"/>
    <col min="518" max="518" width="20.140625" style="201" customWidth="1"/>
    <col min="519" max="519" width="23.85546875" style="201" customWidth="1"/>
    <col min="520" max="520" width="24" style="201" customWidth="1"/>
    <col min="521" max="771" width="9.140625" style="201"/>
    <col min="772" max="772" width="48.140625" style="201" customWidth="1"/>
    <col min="773" max="773" width="23.42578125" style="201" customWidth="1"/>
    <col min="774" max="774" width="20.140625" style="201" customWidth="1"/>
    <col min="775" max="775" width="23.85546875" style="201" customWidth="1"/>
    <col min="776" max="776" width="24" style="201" customWidth="1"/>
    <col min="777" max="1027" width="9.140625" style="201"/>
    <col min="1028" max="1028" width="48.140625" style="201" customWidth="1"/>
    <col min="1029" max="1029" width="23.42578125" style="201" customWidth="1"/>
    <col min="1030" max="1030" width="20.140625" style="201" customWidth="1"/>
    <col min="1031" max="1031" width="23.85546875" style="201" customWidth="1"/>
    <col min="1032" max="1032" width="24" style="201" customWidth="1"/>
    <col min="1033" max="1283" width="9.140625" style="201"/>
    <col min="1284" max="1284" width="48.140625" style="201" customWidth="1"/>
    <col min="1285" max="1285" width="23.42578125" style="201" customWidth="1"/>
    <col min="1286" max="1286" width="20.140625" style="201" customWidth="1"/>
    <col min="1287" max="1287" width="23.85546875" style="201" customWidth="1"/>
    <col min="1288" max="1288" width="24" style="201" customWidth="1"/>
    <col min="1289" max="1539" width="9.140625" style="201"/>
    <col min="1540" max="1540" width="48.140625" style="201" customWidth="1"/>
    <col min="1541" max="1541" width="23.42578125" style="201" customWidth="1"/>
    <col min="1542" max="1542" width="20.140625" style="201" customWidth="1"/>
    <col min="1543" max="1543" width="23.85546875" style="201" customWidth="1"/>
    <col min="1544" max="1544" width="24" style="201" customWidth="1"/>
    <col min="1545" max="1795" width="9.140625" style="201"/>
    <col min="1796" max="1796" width="48.140625" style="201" customWidth="1"/>
    <col min="1797" max="1797" width="23.42578125" style="201" customWidth="1"/>
    <col min="1798" max="1798" width="20.140625" style="201" customWidth="1"/>
    <col min="1799" max="1799" width="23.85546875" style="201" customWidth="1"/>
    <col min="1800" max="1800" width="24" style="201" customWidth="1"/>
    <col min="1801" max="2051" width="9.140625" style="201"/>
    <col min="2052" max="2052" width="48.140625" style="201" customWidth="1"/>
    <col min="2053" max="2053" width="23.42578125" style="201" customWidth="1"/>
    <col min="2054" max="2054" width="20.140625" style="201" customWidth="1"/>
    <col min="2055" max="2055" width="23.85546875" style="201" customWidth="1"/>
    <col min="2056" max="2056" width="24" style="201" customWidth="1"/>
    <col min="2057" max="2307" width="9.140625" style="201"/>
    <col min="2308" max="2308" width="48.140625" style="201" customWidth="1"/>
    <col min="2309" max="2309" width="23.42578125" style="201" customWidth="1"/>
    <col min="2310" max="2310" width="20.140625" style="201" customWidth="1"/>
    <col min="2311" max="2311" width="23.85546875" style="201" customWidth="1"/>
    <col min="2312" max="2312" width="24" style="201" customWidth="1"/>
    <col min="2313" max="2563" width="9.140625" style="201"/>
    <col min="2564" max="2564" width="48.140625" style="201" customWidth="1"/>
    <col min="2565" max="2565" width="23.42578125" style="201" customWidth="1"/>
    <col min="2566" max="2566" width="20.140625" style="201" customWidth="1"/>
    <col min="2567" max="2567" width="23.85546875" style="201" customWidth="1"/>
    <col min="2568" max="2568" width="24" style="201" customWidth="1"/>
    <col min="2569" max="2819" width="9.140625" style="201"/>
    <col min="2820" max="2820" width="48.140625" style="201" customWidth="1"/>
    <col min="2821" max="2821" width="23.42578125" style="201" customWidth="1"/>
    <col min="2822" max="2822" width="20.140625" style="201" customWidth="1"/>
    <col min="2823" max="2823" width="23.85546875" style="201" customWidth="1"/>
    <col min="2824" max="2824" width="24" style="201" customWidth="1"/>
    <col min="2825" max="3075" width="9.140625" style="201"/>
    <col min="3076" max="3076" width="48.140625" style="201" customWidth="1"/>
    <col min="3077" max="3077" width="23.42578125" style="201" customWidth="1"/>
    <col min="3078" max="3078" width="20.140625" style="201" customWidth="1"/>
    <col min="3079" max="3079" width="23.85546875" style="201" customWidth="1"/>
    <col min="3080" max="3080" width="24" style="201" customWidth="1"/>
    <col min="3081" max="3331" width="9.140625" style="201"/>
    <col min="3332" max="3332" width="48.140625" style="201" customWidth="1"/>
    <col min="3333" max="3333" width="23.42578125" style="201" customWidth="1"/>
    <col min="3334" max="3334" width="20.140625" style="201" customWidth="1"/>
    <col min="3335" max="3335" width="23.85546875" style="201" customWidth="1"/>
    <col min="3336" max="3336" width="24" style="201" customWidth="1"/>
    <col min="3337" max="3587" width="9.140625" style="201"/>
    <col min="3588" max="3588" width="48.140625" style="201" customWidth="1"/>
    <col min="3589" max="3589" width="23.42578125" style="201" customWidth="1"/>
    <col min="3590" max="3590" width="20.140625" style="201" customWidth="1"/>
    <col min="3591" max="3591" width="23.85546875" style="201" customWidth="1"/>
    <col min="3592" max="3592" width="24" style="201" customWidth="1"/>
    <col min="3593" max="3843" width="9.140625" style="201"/>
    <col min="3844" max="3844" width="48.140625" style="201" customWidth="1"/>
    <col min="3845" max="3845" width="23.42578125" style="201" customWidth="1"/>
    <col min="3846" max="3846" width="20.140625" style="201" customWidth="1"/>
    <col min="3847" max="3847" width="23.85546875" style="201" customWidth="1"/>
    <col min="3848" max="3848" width="24" style="201" customWidth="1"/>
    <col min="3849" max="4099" width="9.140625" style="201"/>
    <col min="4100" max="4100" width="48.140625" style="201" customWidth="1"/>
    <col min="4101" max="4101" width="23.42578125" style="201" customWidth="1"/>
    <col min="4102" max="4102" width="20.140625" style="201" customWidth="1"/>
    <col min="4103" max="4103" width="23.85546875" style="201" customWidth="1"/>
    <col min="4104" max="4104" width="24" style="201" customWidth="1"/>
    <col min="4105" max="4355" width="9.140625" style="201"/>
    <col min="4356" max="4356" width="48.140625" style="201" customWidth="1"/>
    <col min="4357" max="4357" width="23.42578125" style="201" customWidth="1"/>
    <col min="4358" max="4358" width="20.140625" style="201" customWidth="1"/>
    <col min="4359" max="4359" width="23.85546875" style="201" customWidth="1"/>
    <col min="4360" max="4360" width="24" style="201" customWidth="1"/>
    <col min="4361" max="4611" width="9.140625" style="201"/>
    <col min="4612" max="4612" width="48.140625" style="201" customWidth="1"/>
    <col min="4613" max="4613" width="23.42578125" style="201" customWidth="1"/>
    <col min="4614" max="4614" width="20.140625" style="201" customWidth="1"/>
    <col min="4615" max="4615" width="23.85546875" style="201" customWidth="1"/>
    <col min="4616" max="4616" width="24" style="201" customWidth="1"/>
    <col min="4617" max="4867" width="9.140625" style="201"/>
    <col min="4868" max="4868" width="48.140625" style="201" customWidth="1"/>
    <col min="4869" max="4869" width="23.42578125" style="201" customWidth="1"/>
    <col min="4870" max="4870" width="20.140625" style="201" customWidth="1"/>
    <col min="4871" max="4871" width="23.85546875" style="201" customWidth="1"/>
    <col min="4872" max="4872" width="24" style="201" customWidth="1"/>
    <col min="4873" max="5123" width="9.140625" style="201"/>
    <col min="5124" max="5124" width="48.140625" style="201" customWidth="1"/>
    <col min="5125" max="5125" width="23.42578125" style="201" customWidth="1"/>
    <col min="5126" max="5126" width="20.140625" style="201" customWidth="1"/>
    <col min="5127" max="5127" width="23.85546875" style="201" customWidth="1"/>
    <col min="5128" max="5128" width="24" style="201" customWidth="1"/>
    <col min="5129" max="5379" width="9.140625" style="201"/>
    <col min="5380" max="5380" width="48.140625" style="201" customWidth="1"/>
    <col min="5381" max="5381" width="23.42578125" style="201" customWidth="1"/>
    <col min="5382" max="5382" width="20.140625" style="201" customWidth="1"/>
    <col min="5383" max="5383" width="23.85546875" style="201" customWidth="1"/>
    <col min="5384" max="5384" width="24" style="201" customWidth="1"/>
    <col min="5385" max="5635" width="9.140625" style="201"/>
    <col min="5636" max="5636" width="48.140625" style="201" customWidth="1"/>
    <col min="5637" max="5637" width="23.42578125" style="201" customWidth="1"/>
    <col min="5638" max="5638" width="20.140625" style="201" customWidth="1"/>
    <col min="5639" max="5639" width="23.85546875" style="201" customWidth="1"/>
    <col min="5640" max="5640" width="24" style="201" customWidth="1"/>
    <col min="5641" max="5891" width="9.140625" style="201"/>
    <col min="5892" max="5892" width="48.140625" style="201" customWidth="1"/>
    <col min="5893" max="5893" width="23.42578125" style="201" customWidth="1"/>
    <col min="5894" max="5894" width="20.140625" style="201" customWidth="1"/>
    <col min="5895" max="5895" width="23.85546875" style="201" customWidth="1"/>
    <col min="5896" max="5896" width="24" style="201" customWidth="1"/>
    <col min="5897" max="6147" width="9.140625" style="201"/>
    <col min="6148" max="6148" width="48.140625" style="201" customWidth="1"/>
    <col min="6149" max="6149" width="23.42578125" style="201" customWidth="1"/>
    <col min="6150" max="6150" width="20.140625" style="201" customWidth="1"/>
    <col min="6151" max="6151" width="23.85546875" style="201" customWidth="1"/>
    <col min="6152" max="6152" width="24" style="201" customWidth="1"/>
    <col min="6153" max="6403" width="9.140625" style="201"/>
    <col min="6404" max="6404" width="48.140625" style="201" customWidth="1"/>
    <col min="6405" max="6405" width="23.42578125" style="201" customWidth="1"/>
    <col min="6406" max="6406" width="20.140625" style="201" customWidth="1"/>
    <col min="6407" max="6407" width="23.85546875" style="201" customWidth="1"/>
    <col min="6408" max="6408" width="24" style="201" customWidth="1"/>
    <col min="6409" max="6659" width="9.140625" style="201"/>
    <col min="6660" max="6660" width="48.140625" style="201" customWidth="1"/>
    <col min="6661" max="6661" width="23.42578125" style="201" customWidth="1"/>
    <col min="6662" max="6662" width="20.140625" style="201" customWidth="1"/>
    <col min="6663" max="6663" width="23.85546875" style="201" customWidth="1"/>
    <col min="6664" max="6664" width="24" style="201" customWidth="1"/>
    <col min="6665" max="6915" width="9.140625" style="201"/>
    <col min="6916" max="6916" width="48.140625" style="201" customWidth="1"/>
    <col min="6917" max="6917" width="23.42578125" style="201" customWidth="1"/>
    <col min="6918" max="6918" width="20.140625" style="201" customWidth="1"/>
    <col min="6919" max="6919" width="23.85546875" style="201" customWidth="1"/>
    <col min="6920" max="6920" width="24" style="201" customWidth="1"/>
    <col min="6921" max="7171" width="9.140625" style="201"/>
    <col min="7172" max="7172" width="48.140625" style="201" customWidth="1"/>
    <col min="7173" max="7173" width="23.42578125" style="201" customWidth="1"/>
    <col min="7174" max="7174" width="20.140625" style="201" customWidth="1"/>
    <col min="7175" max="7175" width="23.85546875" style="201" customWidth="1"/>
    <col min="7176" max="7176" width="24" style="201" customWidth="1"/>
    <col min="7177" max="7427" width="9.140625" style="201"/>
    <col min="7428" max="7428" width="48.140625" style="201" customWidth="1"/>
    <col min="7429" max="7429" width="23.42578125" style="201" customWidth="1"/>
    <col min="7430" max="7430" width="20.140625" style="201" customWidth="1"/>
    <col min="7431" max="7431" width="23.85546875" style="201" customWidth="1"/>
    <col min="7432" max="7432" width="24" style="201" customWidth="1"/>
    <col min="7433" max="7683" width="9.140625" style="201"/>
    <col min="7684" max="7684" width="48.140625" style="201" customWidth="1"/>
    <col min="7685" max="7685" width="23.42578125" style="201" customWidth="1"/>
    <col min="7686" max="7686" width="20.140625" style="201" customWidth="1"/>
    <col min="7687" max="7687" width="23.85546875" style="201" customWidth="1"/>
    <col min="7688" max="7688" width="24" style="201" customWidth="1"/>
    <col min="7689" max="7939" width="9.140625" style="201"/>
    <col min="7940" max="7940" width="48.140625" style="201" customWidth="1"/>
    <col min="7941" max="7941" width="23.42578125" style="201" customWidth="1"/>
    <col min="7942" max="7942" width="20.140625" style="201" customWidth="1"/>
    <col min="7943" max="7943" width="23.85546875" style="201" customWidth="1"/>
    <col min="7944" max="7944" width="24" style="201" customWidth="1"/>
    <col min="7945" max="8195" width="9.140625" style="201"/>
    <col min="8196" max="8196" width="48.140625" style="201" customWidth="1"/>
    <col min="8197" max="8197" width="23.42578125" style="201" customWidth="1"/>
    <col min="8198" max="8198" width="20.140625" style="201" customWidth="1"/>
    <col min="8199" max="8199" width="23.85546875" style="201" customWidth="1"/>
    <col min="8200" max="8200" width="24" style="201" customWidth="1"/>
    <col min="8201" max="8451" width="9.140625" style="201"/>
    <col min="8452" max="8452" width="48.140625" style="201" customWidth="1"/>
    <col min="8453" max="8453" width="23.42578125" style="201" customWidth="1"/>
    <col min="8454" max="8454" width="20.140625" style="201" customWidth="1"/>
    <col min="8455" max="8455" width="23.85546875" style="201" customWidth="1"/>
    <col min="8456" max="8456" width="24" style="201" customWidth="1"/>
    <col min="8457" max="8707" width="9.140625" style="201"/>
    <col min="8708" max="8708" width="48.140625" style="201" customWidth="1"/>
    <col min="8709" max="8709" width="23.42578125" style="201" customWidth="1"/>
    <col min="8710" max="8710" width="20.140625" style="201" customWidth="1"/>
    <col min="8711" max="8711" width="23.85546875" style="201" customWidth="1"/>
    <col min="8712" max="8712" width="24" style="201" customWidth="1"/>
    <col min="8713" max="8963" width="9.140625" style="201"/>
    <col min="8964" max="8964" width="48.140625" style="201" customWidth="1"/>
    <col min="8965" max="8965" width="23.42578125" style="201" customWidth="1"/>
    <col min="8966" max="8966" width="20.140625" style="201" customWidth="1"/>
    <col min="8967" max="8967" width="23.85546875" style="201" customWidth="1"/>
    <col min="8968" max="8968" width="24" style="201" customWidth="1"/>
    <col min="8969" max="9219" width="9.140625" style="201"/>
    <col min="9220" max="9220" width="48.140625" style="201" customWidth="1"/>
    <col min="9221" max="9221" width="23.42578125" style="201" customWidth="1"/>
    <col min="9222" max="9222" width="20.140625" style="201" customWidth="1"/>
    <col min="9223" max="9223" width="23.85546875" style="201" customWidth="1"/>
    <col min="9224" max="9224" width="24" style="201" customWidth="1"/>
    <col min="9225" max="9475" width="9.140625" style="201"/>
    <col min="9476" max="9476" width="48.140625" style="201" customWidth="1"/>
    <col min="9477" max="9477" width="23.42578125" style="201" customWidth="1"/>
    <col min="9478" max="9478" width="20.140625" style="201" customWidth="1"/>
    <col min="9479" max="9479" width="23.85546875" style="201" customWidth="1"/>
    <col min="9480" max="9480" width="24" style="201" customWidth="1"/>
    <col min="9481" max="9731" width="9.140625" style="201"/>
    <col min="9732" max="9732" width="48.140625" style="201" customWidth="1"/>
    <col min="9733" max="9733" width="23.42578125" style="201" customWidth="1"/>
    <col min="9734" max="9734" width="20.140625" style="201" customWidth="1"/>
    <col min="9735" max="9735" width="23.85546875" style="201" customWidth="1"/>
    <col min="9736" max="9736" width="24" style="201" customWidth="1"/>
    <col min="9737" max="9987" width="9.140625" style="201"/>
    <col min="9988" max="9988" width="48.140625" style="201" customWidth="1"/>
    <col min="9989" max="9989" width="23.42578125" style="201" customWidth="1"/>
    <col min="9990" max="9990" width="20.140625" style="201" customWidth="1"/>
    <col min="9991" max="9991" width="23.85546875" style="201" customWidth="1"/>
    <col min="9992" max="9992" width="24" style="201" customWidth="1"/>
    <col min="9993" max="10243" width="9.140625" style="201"/>
    <col min="10244" max="10244" width="48.140625" style="201" customWidth="1"/>
    <col min="10245" max="10245" width="23.42578125" style="201" customWidth="1"/>
    <col min="10246" max="10246" width="20.140625" style="201" customWidth="1"/>
    <col min="10247" max="10247" width="23.85546875" style="201" customWidth="1"/>
    <col min="10248" max="10248" width="24" style="201" customWidth="1"/>
    <col min="10249" max="10499" width="9.140625" style="201"/>
    <col min="10500" max="10500" width="48.140625" style="201" customWidth="1"/>
    <col min="10501" max="10501" width="23.42578125" style="201" customWidth="1"/>
    <col min="10502" max="10502" width="20.140625" style="201" customWidth="1"/>
    <col min="10503" max="10503" width="23.85546875" style="201" customWidth="1"/>
    <col min="10504" max="10504" width="24" style="201" customWidth="1"/>
    <col min="10505" max="10755" width="9.140625" style="201"/>
    <col min="10756" max="10756" width="48.140625" style="201" customWidth="1"/>
    <col min="10757" max="10757" width="23.42578125" style="201" customWidth="1"/>
    <col min="10758" max="10758" width="20.140625" style="201" customWidth="1"/>
    <col min="10759" max="10759" width="23.85546875" style="201" customWidth="1"/>
    <col min="10760" max="10760" width="24" style="201" customWidth="1"/>
    <col min="10761" max="11011" width="9.140625" style="201"/>
    <col min="11012" max="11012" width="48.140625" style="201" customWidth="1"/>
    <col min="11013" max="11013" width="23.42578125" style="201" customWidth="1"/>
    <col min="11014" max="11014" width="20.140625" style="201" customWidth="1"/>
    <col min="11015" max="11015" width="23.85546875" style="201" customWidth="1"/>
    <col min="11016" max="11016" width="24" style="201" customWidth="1"/>
    <col min="11017" max="11267" width="9.140625" style="201"/>
    <col min="11268" max="11268" width="48.140625" style="201" customWidth="1"/>
    <col min="11269" max="11269" width="23.42578125" style="201" customWidth="1"/>
    <col min="11270" max="11270" width="20.140625" style="201" customWidth="1"/>
    <col min="11271" max="11271" width="23.85546875" style="201" customWidth="1"/>
    <col min="11272" max="11272" width="24" style="201" customWidth="1"/>
    <col min="11273" max="11523" width="9.140625" style="201"/>
    <col min="11524" max="11524" width="48.140625" style="201" customWidth="1"/>
    <col min="11525" max="11525" width="23.42578125" style="201" customWidth="1"/>
    <col min="11526" max="11526" width="20.140625" style="201" customWidth="1"/>
    <col min="11527" max="11527" width="23.85546875" style="201" customWidth="1"/>
    <col min="11528" max="11528" width="24" style="201" customWidth="1"/>
    <col min="11529" max="11779" width="9.140625" style="201"/>
    <col min="11780" max="11780" width="48.140625" style="201" customWidth="1"/>
    <col min="11781" max="11781" width="23.42578125" style="201" customWidth="1"/>
    <col min="11782" max="11782" width="20.140625" style="201" customWidth="1"/>
    <col min="11783" max="11783" width="23.85546875" style="201" customWidth="1"/>
    <col min="11784" max="11784" width="24" style="201" customWidth="1"/>
    <col min="11785" max="12035" width="9.140625" style="201"/>
    <col min="12036" max="12036" width="48.140625" style="201" customWidth="1"/>
    <col min="12037" max="12037" width="23.42578125" style="201" customWidth="1"/>
    <col min="12038" max="12038" width="20.140625" style="201" customWidth="1"/>
    <col min="12039" max="12039" width="23.85546875" style="201" customWidth="1"/>
    <col min="12040" max="12040" width="24" style="201" customWidth="1"/>
    <col min="12041" max="12291" width="9.140625" style="201"/>
    <col min="12292" max="12292" width="48.140625" style="201" customWidth="1"/>
    <col min="12293" max="12293" width="23.42578125" style="201" customWidth="1"/>
    <col min="12294" max="12294" width="20.140625" style="201" customWidth="1"/>
    <col min="12295" max="12295" width="23.85546875" style="201" customWidth="1"/>
    <col min="12296" max="12296" width="24" style="201" customWidth="1"/>
    <col min="12297" max="12547" width="9.140625" style="201"/>
    <col min="12548" max="12548" width="48.140625" style="201" customWidth="1"/>
    <col min="12549" max="12549" width="23.42578125" style="201" customWidth="1"/>
    <col min="12550" max="12550" width="20.140625" style="201" customWidth="1"/>
    <col min="12551" max="12551" width="23.85546875" style="201" customWidth="1"/>
    <col min="12552" max="12552" width="24" style="201" customWidth="1"/>
    <col min="12553" max="12803" width="9.140625" style="201"/>
    <col min="12804" max="12804" width="48.140625" style="201" customWidth="1"/>
    <col min="12805" max="12805" width="23.42578125" style="201" customWidth="1"/>
    <col min="12806" max="12806" width="20.140625" style="201" customWidth="1"/>
    <col min="12807" max="12807" width="23.85546875" style="201" customWidth="1"/>
    <col min="12808" max="12808" width="24" style="201" customWidth="1"/>
    <col min="12809" max="13059" width="9.140625" style="201"/>
    <col min="13060" max="13060" width="48.140625" style="201" customWidth="1"/>
    <col min="13061" max="13061" width="23.42578125" style="201" customWidth="1"/>
    <col min="13062" max="13062" width="20.140625" style="201" customWidth="1"/>
    <col min="13063" max="13063" width="23.85546875" style="201" customWidth="1"/>
    <col min="13064" max="13064" width="24" style="201" customWidth="1"/>
    <col min="13065" max="13315" width="9.140625" style="201"/>
    <col min="13316" max="13316" width="48.140625" style="201" customWidth="1"/>
    <col min="13317" max="13317" width="23.42578125" style="201" customWidth="1"/>
    <col min="13318" max="13318" width="20.140625" style="201" customWidth="1"/>
    <col min="13319" max="13319" width="23.85546875" style="201" customWidth="1"/>
    <col min="13320" max="13320" width="24" style="201" customWidth="1"/>
    <col min="13321" max="13571" width="9.140625" style="201"/>
    <col min="13572" max="13572" width="48.140625" style="201" customWidth="1"/>
    <col min="13573" max="13573" width="23.42578125" style="201" customWidth="1"/>
    <col min="13574" max="13574" width="20.140625" style="201" customWidth="1"/>
    <col min="13575" max="13575" width="23.85546875" style="201" customWidth="1"/>
    <col min="13576" max="13576" width="24" style="201" customWidth="1"/>
    <col min="13577" max="13827" width="9.140625" style="201"/>
    <col min="13828" max="13828" width="48.140625" style="201" customWidth="1"/>
    <col min="13829" max="13829" width="23.42578125" style="201" customWidth="1"/>
    <col min="13830" max="13830" width="20.140625" style="201" customWidth="1"/>
    <col min="13831" max="13831" width="23.85546875" style="201" customWidth="1"/>
    <col min="13832" max="13832" width="24" style="201" customWidth="1"/>
    <col min="13833" max="14083" width="9.140625" style="201"/>
    <col min="14084" max="14084" width="48.140625" style="201" customWidth="1"/>
    <col min="14085" max="14085" width="23.42578125" style="201" customWidth="1"/>
    <col min="14086" max="14086" width="20.140625" style="201" customWidth="1"/>
    <col min="14087" max="14087" width="23.85546875" style="201" customWidth="1"/>
    <col min="14088" max="14088" width="24" style="201" customWidth="1"/>
    <col min="14089" max="14339" width="9.140625" style="201"/>
    <col min="14340" max="14340" width="48.140625" style="201" customWidth="1"/>
    <col min="14341" max="14341" width="23.42578125" style="201" customWidth="1"/>
    <col min="14342" max="14342" width="20.140625" style="201" customWidth="1"/>
    <col min="14343" max="14343" width="23.85546875" style="201" customWidth="1"/>
    <col min="14344" max="14344" width="24" style="201" customWidth="1"/>
    <col min="14345" max="14595" width="9.140625" style="201"/>
    <col min="14596" max="14596" width="48.140625" style="201" customWidth="1"/>
    <col min="14597" max="14597" width="23.42578125" style="201" customWidth="1"/>
    <col min="14598" max="14598" width="20.140625" style="201" customWidth="1"/>
    <col min="14599" max="14599" width="23.85546875" style="201" customWidth="1"/>
    <col min="14600" max="14600" width="24" style="201" customWidth="1"/>
    <col min="14601" max="14851" width="9.140625" style="201"/>
    <col min="14852" max="14852" width="48.140625" style="201" customWidth="1"/>
    <col min="14853" max="14853" width="23.42578125" style="201" customWidth="1"/>
    <col min="14854" max="14854" width="20.140625" style="201" customWidth="1"/>
    <col min="14855" max="14855" width="23.85546875" style="201" customWidth="1"/>
    <col min="14856" max="14856" width="24" style="201" customWidth="1"/>
    <col min="14857" max="15107" width="9.140625" style="201"/>
    <col min="15108" max="15108" width="48.140625" style="201" customWidth="1"/>
    <col min="15109" max="15109" width="23.42578125" style="201" customWidth="1"/>
    <col min="15110" max="15110" width="20.140625" style="201" customWidth="1"/>
    <col min="15111" max="15111" width="23.85546875" style="201" customWidth="1"/>
    <col min="15112" max="15112" width="24" style="201" customWidth="1"/>
    <col min="15113" max="15363" width="9.140625" style="201"/>
    <col min="15364" max="15364" width="48.140625" style="201" customWidth="1"/>
    <col min="15365" max="15365" width="23.42578125" style="201" customWidth="1"/>
    <col min="15366" max="15366" width="20.140625" style="201" customWidth="1"/>
    <col min="15367" max="15367" width="23.85546875" style="201" customWidth="1"/>
    <col min="15368" max="15368" width="24" style="201" customWidth="1"/>
    <col min="15369" max="15619" width="9.140625" style="201"/>
    <col min="15620" max="15620" width="48.140625" style="201" customWidth="1"/>
    <col min="15621" max="15621" width="23.42578125" style="201" customWidth="1"/>
    <col min="15622" max="15622" width="20.140625" style="201" customWidth="1"/>
    <col min="15623" max="15623" width="23.85546875" style="201" customWidth="1"/>
    <col min="15624" max="15624" width="24" style="201" customWidth="1"/>
    <col min="15625" max="15875" width="9.140625" style="201"/>
    <col min="15876" max="15876" width="48.140625" style="201" customWidth="1"/>
    <col min="15877" max="15877" width="23.42578125" style="201" customWidth="1"/>
    <col min="15878" max="15878" width="20.140625" style="201" customWidth="1"/>
    <col min="15879" max="15879" width="23.85546875" style="201" customWidth="1"/>
    <col min="15880" max="15880" width="24" style="201" customWidth="1"/>
    <col min="15881" max="16131" width="9.140625" style="201"/>
    <col min="16132" max="16132" width="48.140625" style="201" customWidth="1"/>
    <col min="16133" max="16133" width="23.42578125" style="201" customWidth="1"/>
    <col min="16134" max="16134" width="20.140625" style="201" customWidth="1"/>
    <col min="16135" max="16135" width="23.85546875" style="201" customWidth="1"/>
    <col min="16136" max="16136" width="24" style="201" customWidth="1"/>
    <col min="16137" max="16384" width="9.140625" style="201"/>
  </cols>
  <sheetData>
    <row r="1" spans="1:11" s="189" customFormat="1" ht="15.75" x14ac:dyDescent="0.25">
      <c r="A1" s="189" t="s">
        <v>1078</v>
      </c>
      <c r="B1" s="190"/>
      <c r="C1" s="190"/>
      <c r="D1" s="190"/>
      <c r="E1" s="190"/>
      <c r="F1" s="190"/>
      <c r="G1" s="190"/>
      <c r="H1" s="190"/>
      <c r="I1" s="190"/>
    </row>
    <row r="2" spans="1:11" s="189" customFormat="1" ht="16.5" thickBot="1" x14ac:dyDescent="0.3">
      <c r="B2" s="190"/>
      <c r="C2" s="190"/>
      <c r="D2" s="190"/>
      <c r="E2" s="190"/>
      <c r="F2" s="190"/>
      <c r="G2" s="190"/>
      <c r="H2" s="190"/>
      <c r="I2" s="190"/>
    </row>
    <row r="3" spans="1:11" s="189" customFormat="1" ht="48" thickBot="1" x14ac:dyDescent="0.3">
      <c r="A3" s="191" t="s">
        <v>1061</v>
      </c>
      <c r="B3" s="193" t="s">
        <v>1074</v>
      </c>
      <c r="C3" s="193" t="s">
        <v>1062</v>
      </c>
      <c r="D3" s="193" t="s">
        <v>1075</v>
      </c>
      <c r="E3" s="193" t="s">
        <v>1062</v>
      </c>
      <c r="F3" s="193" t="s">
        <v>1063</v>
      </c>
      <c r="G3" s="193" t="s">
        <v>1062</v>
      </c>
      <c r="H3" s="221" t="s">
        <v>1064</v>
      </c>
      <c r="I3" s="193" t="s">
        <v>1062</v>
      </c>
    </row>
    <row r="4" spans="1:11" ht="15.75" x14ac:dyDescent="0.25">
      <c r="A4" s="18" t="s">
        <v>73</v>
      </c>
      <c r="B4" s="198">
        <f>'[3]ALL DEPARTMENTS'!H52</f>
        <v>76301596.152798533</v>
      </c>
      <c r="C4" s="198">
        <f>B4/B10*100</f>
        <v>57.320249647562314</v>
      </c>
      <c r="D4" s="198">
        <f>'All Departments'!J50</f>
        <v>76412806.479999989</v>
      </c>
      <c r="E4" s="198">
        <f>D4/D10*100</f>
        <v>52.968578216172681</v>
      </c>
      <c r="F4" s="198">
        <f>'All Departments'!K50</f>
        <v>80619024.608800009</v>
      </c>
      <c r="G4" s="198">
        <f>F4/F10*100</f>
        <v>55.189334523893642</v>
      </c>
      <c r="H4" s="222">
        <f>'All Departments'!L50</f>
        <v>85691084.041327998</v>
      </c>
      <c r="I4" s="200">
        <f>H4/H10*100</f>
        <v>54.616511462425329</v>
      </c>
    </row>
    <row r="5" spans="1:11" ht="15.75" x14ac:dyDescent="0.25">
      <c r="A5" s="18" t="s">
        <v>292</v>
      </c>
      <c r="B5" s="198">
        <f>'[3]ALL DEPARTMENTS'!H171</f>
        <v>48195368.930000007</v>
      </c>
      <c r="C5" s="198">
        <f>B5/B10*100</f>
        <v>36.20593432137062</v>
      </c>
      <c r="D5" s="198">
        <f>'All Departments'!J172</f>
        <v>53095235</v>
      </c>
      <c r="E5" s="198">
        <f>D5/D10*100</f>
        <v>36.805075452105939</v>
      </c>
      <c r="F5" s="198">
        <f>'All Departments'!K172</f>
        <v>50751609.819999993</v>
      </c>
      <c r="G5" s="198">
        <f>F5/F10*100</f>
        <v>34.743009923198279</v>
      </c>
      <c r="H5" s="222">
        <f>'All Departments'!L172</f>
        <v>55615906.409200013</v>
      </c>
      <c r="I5" s="198">
        <f>H5/H10*100</f>
        <v>35.447641068775212</v>
      </c>
    </row>
    <row r="6" spans="1:11" ht="15.75" x14ac:dyDescent="0.25">
      <c r="A6" s="18" t="s">
        <v>1003</v>
      </c>
      <c r="B6" s="198">
        <f>'[3]ALL DEPARTMENTS'!H191</f>
        <v>4385591.5040000007</v>
      </c>
      <c r="C6" s="198">
        <f>B6/B10*100</f>
        <v>3.2945994911836229</v>
      </c>
      <c r="D6" s="198">
        <f>'All Departments'!J191</f>
        <v>6502592</v>
      </c>
      <c r="E6" s="198">
        <f>D6/D10*100</f>
        <v>4.5075304628421078</v>
      </c>
      <c r="F6" s="198">
        <f>'All Departments'!K191</f>
        <v>6226547.5200000005</v>
      </c>
      <c r="G6" s="198">
        <f>F6/F10*100</f>
        <v>4.2625052297232866</v>
      </c>
      <c r="H6" s="222">
        <f>'All Departments'!L191</f>
        <v>6600140.3711999999</v>
      </c>
      <c r="I6" s="198">
        <f>H6/H10*100</f>
        <v>4.2066995215442304</v>
      </c>
    </row>
    <row r="7" spans="1:11" ht="15.75" x14ac:dyDescent="0.25">
      <c r="A7" s="18" t="s">
        <v>334</v>
      </c>
      <c r="B7" s="198">
        <f>'[3]ALL DEPARTMENTS'!H200</f>
        <v>0</v>
      </c>
      <c r="C7" s="198">
        <f>B7/B10*100</f>
        <v>0</v>
      </c>
      <c r="D7" s="198">
        <f>'All Departments'!J200</f>
        <v>250000</v>
      </c>
      <c r="E7" s="198">
        <f>D7/D10*100</f>
        <v>0.17329745057209908</v>
      </c>
      <c r="F7" s="198">
        <f>'[3]ALL DEPARTMENTS'!I200</f>
        <v>0</v>
      </c>
      <c r="G7" s="198">
        <f>F7/F10*100</f>
        <v>0</v>
      </c>
      <c r="H7" s="222">
        <f>'[3]ALL DEPARTMENTS'!J200</f>
        <v>0</v>
      </c>
      <c r="I7" s="198">
        <f>H7/H10*100</f>
        <v>0</v>
      </c>
    </row>
    <row r="8" spans="1:11" ht="15.75" x14ac:dyDescent="0.25">
      <c r="A8" s="18" t="s">
        <v>337</v>
      </c>
      <c r="B8" s="198">
        <f>'[3]ALL DEPARTMENTS'!H206</f>
        <v>4232000</v>
      </c>
      <c r="C8" s="198">
        <f>B8/B10*100</f>
        <v>3.1792165398834396</v>
      </c>
      <c r="D8" s="198">
        <f>'All Departments'!J203</f>
        <v>8000000</v>
      </c>
      <c r="E8" s="198">
        <f>D8/D10*100</f>
        <v>5.5455184183071706</v>
      </c>
      <c r="F8" s="198">
        <f>'All Departments'!K203</f>
        <v>8480000</v>
      </c>
      <c r="G8" s="198">
        <f>F8/F10*100</f>
        <v>5.8051503231847921</v>
      </c>
      <c r="H8" s="222">
        <f>'All Departments'!L203</f>
        <v>8988800</v>
      </c>
      <c r="I8" s="198">
        <f>H8/H10*100</f>
        <v>5.7291479472552194</v>
      </c>
    </row>
    <row r="9" spans="1:11" ht="15.75" thickBot="1" x14ac:dyDescent="0.25">
      <c r="A9" s="202"/>
      <c r="B9" s="206"/>
      <c r="C9" s="206"/>
      <c r="D9" s="206"/>
      <c r="E9" s="206"/>
      <c r="F9" s="206"/>
      <c r="G9" s="206"/>
      <c r="H9" s="223"/>
      <c r="I9" s="206"/>
    </row>
    <row r="10" spans="1:11" s="189" customFormat="1" ht="16.5" thickBot="1" x14ac:dyDescent="0.3">
      <c r="A10" s="191" t="s">
        <v>1079</v>
      </c>
      <c r="B10" s="210">
        <f>SUM(B4:B9)</f>
        <v>133114556.58679855</v>
      </c>
      <c r="C10" s="210">
        <f>SUM(C4:C8)</f>
        <v>100</v>
      </c>
      <c r="D10" s="210">
        <f>SUM(D4:D9)</f>
        <v>144260633.47999999</v>
      </c>
      <c r="E10" s="210"/>
      <c r="F10" s="210">
        <f>SUM(F4:F9)</f>
        <v>146077181.9488</v>
      </c>
      <c r="G10" s="210">
        <f>F10/F10*100</f>
        <v>100</v>
      </c>
      <c r="H10" s="224">
        <f>SUM(H4:H9)</f>
        <v>156895930.82172802</v>
      </c>
      <c r="I10" s="210">
        <f>H10/H10*100</f>
        <v>100</v>
      </c>
    </row>
    <row r="11" spans="1:11" x14ac:dyDescent="0.2">
      <c r="D11" s="212">
        <f>D10-'Executive summary'!D6</f>
        <v>0</v>
      </c>
      <c r="F11" s="212">
        <f>F10-'Executive summary'!F6</f>
        <v>0</v>
      </c>
      <c r="H11" s="212">
        <f>H10-'Executive summary'!H6</f>
        <v>0</v>
      </c>
    </row>
    <row r="12" spans="1:11" s="212" customFormat="1" x14ac:dyDescent="0.2"/>
    <row r="13" spans="1:11" x14ac:dyDescent="0.2">
      <c r="K13" s="2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1" sqref="I11"/>
    </sheetView>
  </sheetViews>
  <sheetFormatPr defaultRowHeight="15" x14ac:dyDescent="0.2"/>
  <cols>
    <col min="1" max="1" width="48.140625" style="201" customWidth="1"/>
    <col min="2" max="2" width="17.140625" style="201" customWidth="1"/>
    <col min="3" max="3" width="9.140625" style="201" customWidth="1"/>
    <col min="4" max="4" width="17.7109375" style="201" customWidth="1"/>
    <col min="5" max="5" width="10" style="212" customWidth="1"/>
    <col min="6" max="6" width="17.140625" style="201" customWidth="1"/>
    <col min="7" max="7" width="9.140625" style="212"/>
    <col min="8" max="257" width="9.140625" style="201"/>
    <col min="258" max="258" width="48.140625" style="201" customWidth="1"/>
    <col min="259" max="259" width="23.42578125" style="201" customWidth="1"/>
    <col min="260" max="260" width="20.140625" style="201" customWidth="1"/>
    <col min="261" max="261" width="23.85546875" style="201" customWidth="1"/>
    <col min="262" max="262" width="24" style="201" customWidth="1"/>
    <col min="263" max="513" width="9.140625" style="201"/>
    <col min="514" max="514" width="48.140625" style="201" customWidth="1"/>
    <col min="515" max="515" width="23.42578125" style="201" customWidth="1"/>
    <col min="516" max="516" width="20.140625" style="201" customWidth="1"/>
    <col min="517" max="517" width="23.85546875" style="201" customWidth="1"/>
    <col min="518" max="518" width="24" style="201" customWidth="1"/>
    <col min="519" max="769" width="9.140625" style="201"/>
    <col min="770" max="770" width="48.140625" style="201" customWidth="1"/>
    <col min="771" max="771" width="23.42578125" style="201" customWidth="1"/>
    <col min="772" max="772" width="20.140625" style="201" customWidth="1"/>
    <col min="773" max="773" width="23.85546875" style="201" customWidth="1"/>
    <col min="774" max="774" width="24" style="201" customWidth="1"/>
    <col min="775" max="1025" width="9.140625" style="201"/>
    <col min="1026" max="1026" width="48.140625" style="201" customWidth="1"/>
    <col min="1027" max="1027" width="23.42578125" style="201" customWidth="1"/>
    <col min="1028" max="1028" width="20.140625" style="201" customWidth="1"/>
    <col min="1029" max="1029" width="23.85546875" style="201" customWidth="1"/>
    <col min="1030" max="1030" width="24" style="201" customWidth="1"/>
    <col min="1031" max="1281" width="9.140625" style="201"/>
    <col min="1282" max="1282" width="48.140625" style="201" customWidth="1"/>
    <col min="1283" max="1283" width="23.42578125" style="201" customWidth="1"/>
    <col min="1284" max="1284" width="20.140625" style="201" customWidth="1"/>
    <col min="1285" max="1285" width="23.85546875" style="201" customWidth="1"/>
    <col min="1286" max="1286" width="24" style="201" customWidth="1"/>
    <col min="1287" max="1537" width="9.140625" style="201"/>
    <col min="1538" max="1538" width="48.140625" style="201" customWidth="1"/>
    <col min="1539" max="1539" width="23.42578125" style="201" customWidth="1"/>
    <col min="1540" max="1540" width="20.140625" style="201" customWidth="1"/>
    <col min="1541" max="1541" width="23.85546875" style="201" customWidth="1"/>
    <col min="1542" max="1542" width="24" style="201" customWidth="1"/>
    <col min="1543" max="1793" width="9.140625" style="201"/>
    <col min="1794" max="1794" width="48.140625" style="201" customWidth="1"/>
    <col min="1795" max="1795" width="23.42578125" style="201" customWidth="1"/>
    <col min="1796" max="1796" width="20.140625" style="201" customWidth="1"/>
    <col min="1797" max="1797" width="23.85546875" style="201" customWidth="1"/>
    <col min="1798" max="1798" width="24" style="201" customWidth="1"/>
    <col min="1799" max="2049" width="9.140625" style="201"/>
    <col min="2050" max="2050" width="48.140625" style="201" customWidth="1"/>
    <col min="2051" max="2051" width="23.42578125" style="201" customWidth="1"/>
    <col min="2052" max="2052" width="20.140625" style="201" customWidth="1"/>
    <col min="2053" max="2053" width="23.85546875" style="201" customWidth="1"/>
    <col min="2054" max="2054" width="24" style="201" customWidth="1"/>
    <col min="2055" max="2305" width="9.140625" style="201"/>
    <col min="2306" max="2306" width="48.140625" style="201" customWidth="1"/>
    <col min="2307" max="2307" width="23.42578125" style="201" customWidth="1"/>
    <col min="2308" max="2308" width="20.140625" style="201" customWidth="1"/>
    <col min="2309" max="2309" width="23.85546875" style="201" customWidth="1"/>
    <col min="2310" max="2310" width="24" style="201" customWidth="1"/>
    <col min="2311" max="2561" width="9.140625" style="201"/>
    <col min="2562" max="2562" width="48.140625" style="201" customWidth="1"/>
    <col min="2563" max="2563" width="23.42578125" style="201" customWidth="1"/>
    <col min="2564" max="2564" width="20.140625" style="201" customWidth="1"/>
    <col min="2565" max="2565" width="23.85546875" style="201" customWidth="1"/>
    <col min="2566" max="2566" width="24" style="201" customWidth="1"/>
    <col min="2567" max="2817" width="9.140625" style="201"/>
    <col min="2818" max="2818" width="48.140625" style="201" customWidth="1"/>
    <col min="2819" max="2819" width="23.42578125" style="201" customWidth="1"/>
    <col min="2820" max="2820" width="20.140625" style="201" customWidth="1"/>
    <col min="2821" max="2821" width="23.85546875" style="201" customWidth="1"/>
    <col min="2822" max="2822" width="24" style="201" customWidth="1"/>
    <col min="2823" max="3073" width="9.140625" style="201"/>
    <col min="3074" max="3074" width="48.140625" style="201" customWidth="1"/>
    <col min="3075" max="3075" width="23.42578125" style="201" customWidth="1"/>
    <col min="3076" max="3076" width="20.140625" style="201" customWidth="1"/>
    <col min="3077" max="3077" width="23.85546875" style="201" customWidth="1"/>
    <col min="3078" max="3078" width="24" style="201" customWidth="1"/>
    <col min="3079" max="3329" width="9.140625" style="201"/>
    <col min="3330" max="3330" width="48.140625" style="201" customWidth="1"/>
    <col min="3331" max="3331" width="23.42578125" style="201" customWidth="1"/>
    <col min="3332" max="3332" width="20.140625" style="201" customWidth="1"/>
    <col min="3333" max="3333" width="23.85546875" style="201" customWidth="1"/>
    <col min="3334" max="3334" width="24" style="201" customWidth="1"/>
    <col min="3335" max="3585" width="9.140625" style="201"/>
    <col min="3586" max="3586" width="48.140625" style="201" customWidth="1"/>
    <col min="3587" max="3587" width="23.42578125" style="201" customWidth="1"/>
    <col min="3588" max="3588" width="20.140625" style="201" customWidth="1"/>
    <col min="3589" max="3589" width="23.85546875" style="201" customWidth="1"/>
    <col min="3590" max="3590" width="24" style="201" customWidth="1"/>
    <col min="3591" max="3841" width="9.140625" style="201"/>
    <col min="3842" max="3842" width="48.140625" style="201" customWidth="1"/>
    <col min="3843" max="3843" width="23.42578125" style="201" customWidth="1"/>
    <col min="3844" max="3844" width="20.140625" style="201" customWidth="1"/>
    <col min="3845" max="3845" width="23.85546875" style="201" customWidth="1"/>
    <col min="3846" max="3846" width="24" style="201" customWidth="1"/>
    <col min="3847" max="4097" width="9.140625" style="201"/>
    <col min="4098" max="4098" width="48.140625" style="201" customWidth="1"/>
    <col min="4099" max="4099" width="23.42578125" style="201" customWidth="1"/>
    <col min="4100" max="4100" width="20.140625" style="201" customWidth="1"/>
    <col min="4101" max="4101" width="23.85546875" style="201" customWidth="1"/>
    <col min="4102" max="4102" width="24" style="201" customWidth="1"/>
    <col min="4103" max="4353" width="9.140625" style="201"/>
    <col min="4354" max="4354" width="48.140625" style="201" customWidth="1"/>
    <col min="4355" max="4355" width="23.42578125" style="201" customWidth="1"/>
    <col min="4356" max="4356" width="20.140625" style="201" customWidth="1"/>
    <col min="4357" max="4357" width="23.85546875" style="201" customWidth="1"/>
    <col min="4358" max="4358" width="24" style="201" customWidth="1"/>
    <col min="4359" max="4609" width="9.140625" style="201"/>
    <col min="4610" max="4610" width="48.140625" style="201" customWidth="1"/>
    <col min="4611" max="4611" width="23.42578125" style="201" customWidth="1"/>
    <col min="4612" max="4612" width="20.140625" style="201" customWidth="1"/>
    <col min="4613" max="4613" width="23.85546875" style="201" customWidth="1"/>
    <col min="4614" max="4614" width="24" style="201" customWidth="1"/>
    <col min="4615" max="4865" width="9.140625" style="201"/>
    <col min="4866" max="4866" width="48.140625" style="201" customWidth="1"/>
    <col min="4867" max="4867" width="23.42578125" style="201" customWidth="1"/>
    <col min="4868" max="4868" width="20.140625" style="201" customWidth="1"/>
    <col min="4869" max="4869" width="23.85546875" style="201" customWidth="1"/>
    <col min="4870" max="4870" width="24" style="201" customWidth="1"/>
    <col min="4871" max="5121" width="9.140625" style="201"/>
    <col min="5122" max="5122" width="48.140625" style="201" customWidth="1"/>
    <col min="5123" max="5123" width="23.42578125" style="201" customWidth="1"/>
    <col min="5124" max="5124" width="20.140625" style="201" customWidth="1"/>
    <col min="5125" max="5125" width="23.85546875" style="201" customWidth="1"/>
    <col min="5126" max="5126" width="24" style="201" customWidth="1"/>
    <col min="5127" max="5377" width="9.140625" style="201"/>
    <col min="5378" max="5378" width="48.140625" style="201" customWidth="1"/>
    <col min="5379" max="5379" width="23.42578125" style="201" customWidth="1"/>
    <col min="5380" max="5380" width="20.140625" style="201" customWidth="1"/>
    <col min="5381" max="5381" width="23.85546875" style="201" customWidth="1"/>
    <col min="5382" max="5382" width="24" style="201" customWidth="1"/>
    <col min="5383" max="5633" width="9.140625" style="201"/>
    <col min="5634" max="5634" width="48.140625" style="201" customWidth="1"/>
    <col min="5635" max="5635" width="23.42578125" style="201" customWidth="1"/>
    <col min="5636" max="5636" width="20.140625" style="201" customWidth="1"/>
    <col min="5637" max="5637" width="23.85546875" style="201" customWidth="1"/>
    <col min="5638" max="5638" width="24" style="201" customWidth="1"/>
    <col min="5639" max="5889" width="9.140625" style="201"/>
    <col min="5890" max="5890" width="48.140625" style="201" customWidth="1"/>
    <col min="5891" max="5891" width="23.42578125" style="201" customWidth="1"/>
    <col min="5892" max="5892" width="20.140625" style="201" customWidth="1"/>
    <col min="5893" max="5893" width="23.85546875" style="201" customWidth="1"/>
    <col min="5894" max="5894" width="24" style="201" customWidth="1"/>
    <col min="5895" max="6145" width="9.140625" style="201"/>
    <col min="6146" max="6146" width="48.140625" style="201" customWidth="1"/>
    <col min="6147" max="6147" width="23.42578125" style="201" customWidth="1"/>
    <col min="6148" max="6148" width="20.140625" style="201" customWidth="1"/>
    <col min="6149" max="6149" width="23.85546875" style="201" customWidth="1"/>
    <col min="6150" max="6150" width="24" style="201" customWidth="1"/>
    <col min="6151" max="6401" width="9.140625" style="201"/>
    <col min="6402" max="6402" width="48.140625" style="201" customWidth="1"/>
    <col min="6403" max="6403" width="23.42578125" style="201" customWidth="1"/>
    <col min="6404" max="6404" width="20.140625" style="201" customWidth="1"/>
    <col min="6405" max="6405" width="23.85546875" style="201" customWidth="1"/>
    <col min="6406" max="6406" width="24" style="201" customWidth="1"/>
    <col min="6407" max="6657" width="9.140625" style="201"/>
    <col min="6658" max="6658" width="48.140625" style="201" customWidth="1"/>
    <col min="6659" max="6659" width="23.42578125" style="201" customWidth="1"/>
    <col min="6660" max="6660" width="20.140625" style="201" customWidth="1"/>
    <col min="6661" max="6661" width="23.85546875" style="201" customWidth="1"/>
    <col min="6662" max="6662" width="24" style="201" customWidth="1"/>
    <col min="6663" max="6913" width="9.140625" style="201"/>
    <col min="6914" max="6914" width="48.140625" style="201" customWidth="1"/>
    <col min="6915" max="6915" width="23.42578125" style="201" customWidth="1"/>
    <col min="6916" max="6916" width="20.140625" style="201" customWidth="1"/>
    <col min="6917" max="6917" width="23.85546875" style="201" customWidth="1"/>
    <col min="6918" max="6918" width="24" style="201" customWidth="1"/>
    <col min="6919" max="7169" width="9.140625" style="201"/>
    <col min="7170" max="7170" width="48.140625" style="201" customWidth="1"/>
    <col min="7171" max="7171" width="23.42578125" style="201" customWidth="1"/>
    <col min="7172" max="7172" width="20.140625" style="201" customWidth="1"/>
    <col min="7173" max="7173" width="23.85546875" style="201" customWidth="1"/>
    <col min="7174" max="7174" width="24" style="201" customWidth="1"/>
    <col min="7175" max="7425" width="9.140625" style="201"/>
    <col min="7426" max="7426" width="48.140625" style="201" customWidth="1"/>
    <col min="7427" max="7427" width="23.42578125" style="201" customWidth="1"/>
    <col min="7428" max="7428" width="20.140625" style="201" customWidth="1"/>
    <col min="7429" max="7429" width="23.85546875" style="201" customWidth="1"/>
    <col min="7430" max="7430" width="24" style="201" customWidth="1"/>
    <col min="7431" max="7681" width="9.140625" style="201"/>
    <col min="7682" max="7682" width="48.140625" style="201" customWidth="1"/>
    <col min="7683" max="7683" width="23.42578125" style="201" customWidth="1"/>
    <col min="7684" max="7684" width="20.140625" style="201" customWidth="1"/>
    <col min="7685" max="7685" width="23.85546875" style="201" customWidth="1"/>
    <col min="7686" max="7686" width="24" style="201" customWidth="1"/>
    <col min="7687" max="7937" width="9.140625" style="201"/>
    <col min="7938" max="7938" width="48.140625" style="201" customWidth="1"/>
    <col min="7939" max="7939" width="23.42578125" style="201" customWidth="1"/>
    <col min="7940" max="7940" width="20.140625" style="201" customWidth="1"/>
    <col min="7941" max="7941" width="23.85546875" style="201" customWidth="1"/>
    <col min="7942" max="7942" width="24" style="201" customWidth="1"/>
    <col min="7943" max="8193" width="9.140625" style="201"/>
    <col min="8194" max="8194" width="48.140625" style="201" customWidth="1"/>
    <col min="8195" max="8195" width="23.42578125" style="201" customWidth="1"/>
    <col min="8196" max="8196" width="20.140625" style="201" customWidth="1"/>
    <col min="8197" max="8197" width="23.85546875" style="201" customWidth="1"/>
    <col min="8198" max="8198" width="24" style="201" customWidth="1"/>
    <col min="8199" max="8449" width="9.140625" style="201"/>
    <col min="8450" max="8450" width="48.140625" style="201" customWidth="1"/>
    <col min="8451" max="8451" width="23.42578125" style="201" customWidth="1"/>
    <col min="8452" max="8452" width="20.140625" style="201" customWidth="1"/>
    <col min="8453" max="8453" width="23.85546875" style="201" customWidth="1"/>
    <col min="8454" max="8454" width="24" style="201" customWidth="1"/>
    <col min="8455" max="8705" width="9.140625" style="201"/>
    <col min="8706" max="8706" width="48.140625" style="201" customWidth="1"/>
    <col min="8707" max="8707" width="23.42578125" style="201" customWidth="1"/>
    <col min="8708" max="8708" width="20.140625" style="201" customWidth="1"/>
    <col min="8709" max="8709" width="23.85546875" style="201" customWidth="1"/>
    <col min="8710" max="8710" width="24" style="201" customWidth="1"/>
    <col min="8711" max="8961" width="9.140625" style="201"/>
    <col min="8962" max="8962" width="48.140625" style="201" customWidth="1"/>
    <col min="8963" max="8963" width="23.42578125" style="201" customWidth="1"/>
    <col min="8964" max="8964" width="20.140625" style="201" customWidth="1"/>
    <col min="8965" max="8965" width="23.85546875" style="201" customWidth="1"/>
    <col min="8966" max="8966" width="24" style="201" customWidth="1"/>
    <col min="8967" max="9217" width="9.140625" style="201"/>
    <col min="9218" max="9218" width="48.140625" style="201" customWidth="1"/>
    <col min="9219" max="9219" width="23.42578125" style="201" customWidth="1"/>
    <col min="9220" max="9220" width="20.140625" style="201" customWidth="1"/>
    <col min="9221" max="9221" width="23.85546875" style="201" customWidth="1"/>
    <col min="9222" max="9222" width="24" style="201" customWidth="1"/>
    <col min="9223" max="9473" width="9.140625" style="201"/>
    <col min="9474" max="9474" width="48.140625" style="201" customWidth="1"/>
    <col min="9475" max="9475" width="23.42578125" style="201" customWidth="1"/>
    <col min="9476" max="9476" width="20.140625" style="201" customWidth="1"/>
    <col min="9477" max="9477" width="23.85546875" style="201" customWidth="1"/>
    <col min="9478" max="9478" width="24" style="201" customWidth="1"/>
    <col min="9479" max="9729" width="9.140625" style="201"/>
    <col min="9730" max="9730" width="48.140625" style="201" customWidth="1"/>
    <col min="9731" max="9731" width="23.42578125" style="201" customWidth="1"/>
    <col min="9732" max="9732" width="20.140625" style="201" customWidth="1"/>
    <col min="9733" max="9733" width="23.85546875" style="201" customWidth="1"/>
    <col min="9734" max="9734" width="24" style="201" customWidth="1"/>
    <col min="9735" max="9985" width="9.140625" style="201"/>
    <col min="9986" max="9986" width="48.140625" style="201" customWidth="1"/>
    <col min="9987" max="9987" width="23.42578125" style="201" customWidth="1"/>
    <col min="9988" max="9988" width="20.140625" style="201" customWidth="1"/>
    <col min="9989" max="9989" width="23.85546875" style="201" customWidth="1"/>
    <col min="9990" max="9990" width="24" style="201" customWidth="1"/>
    <col min="9991" max="10241" width="9.140625" style="201"/>
    <col min="10242" max="10242" width="48.140625" style="201" customWidth="1"/>
    <col min="10243" max="10243" width="23.42578125" style="201" customWidth="1"/>
    <col min="10244" max="10244" width="20.140625" style="201" customWidth="1"/>
    <col min="10245" max="10245" width="23.85546875" style="201" customWidth="1"/>
    <col min="10246" max="10246" width="24" style="201" customWidth="1"/>
    <col min="10247" max="10497" width="9.140625" style="201"/>
    <col min="10498" max="10498" width="48.140625" style="201" customWidth="1"/>
    <col min="10499" max="10499" width="23.42578125" style="201" customWidth="1"/>
    <col min="10500" max="10500" width="20.140625" style="201" customWidth="1"/>
    <col min="10501" max="10501" width="23.85546875" style="201" customWidth="1"/>
    <col min="10502" max="10502" width="24" style="201" customWidth="1"/>
    <col min="10503" max="10753" width="9.140625" style="201"/>
    <col min="10754" max="10754" width="48.140625" style="201" customWidth="1"/>
    <col min="10755" max="10755" width="23.42578125" style="201" customWidth="1"/>
    <col min="10756" max="10756" width="20.140625" style="201" customWidth="1"/>
    <col min="10757" max="10757" width="23.85546875" style="201" customWidth="1"/>
    <col min="10758" max="10758" width="24" style="201" customWidth="1"/>
    <col min="10759" max="11009" width="9.140625" style="201"/>
    <col min="11010" max="11010" width="48.140625" style="201" customWidth="1"/>
    <col min="11011" max="11011" width="23.42578125" style="201" customWidth="1"/>
    <col min="11012" max="11012" width="20.140625" style="201" customWidth="1"/>
    <col min="11013" max="11013" width="23.85546875" style="201" customWidth="1"/>
    <col min="11014" max="11014" width="24" style="201" customWidth="1"/>
    <col min="11015" max="11265" width="9.140625" style="201"/>
    <col min="11266" max="11266" width="48.140625" style="201" customWidth="1"/>
    <col min="11267" max="11267" width="23.42578125" style="201" customWidth="1"/>
    <col min="11268" max="11268" width="20.140625" style="201" customWidth="1"/>
    <col min="11269" max="11269" width="23.85546875" style="201" customWidth="1"/>
    <col min="11270" max="11270" width="24" style="201" customWidth="1"/>
    <col min="11271" max="11521" width="9.140625" style="201"/>
    <col min="11522" max="11522" width="48.140625" style="201" customWidth="1"/>
    <col min="11523" max="11523" width="23.42578125" style="201" customWidth="1"/>
    <col min="11524" max="11524" width="20.140625" style="201" customWidth="1"/>
    <col min="11525" max="11525" width="23.85546875" style="201" customWidth="1"/>
    <col min="11526" max="11526" width="24" style="201" customWidth="1"/>
    <col min="11527" max="11777" width="9.140625" style="201"/>
    <col min="11778" max="11778" width="48.140625" style="201" customWidth="1"/>
    <col min="11779" max="11779" width="23.42578125" style="201" customWidth="1"/>
    <col min="11780" max="11780" width="20.140625" style="201" customWidth="1"/>
    <col min="11781" max="11781" width="23.85546875" style="201" customWidth="1"/>
    <col min="11782" max="11782" width="24" style="201" customWidth="1"/>
    <col min="11783" max="12033" width="9.140625" style="201"/>
    <col min="12034" max="12034" width="48.140625" style="201" customWidth="1"/>
    <col min="12035" max="12035" width="23.42578125" style="201" customWidth="1"/>
    <col min="12036" max="12036" width="20.140625" style="201" customWidth="1"/>
    <col min="12037" max="12037" width="23.85546875" style="201" customWidth="1"/>
    <col min="12038" max="12038" width="24" style="201" customWidth="1"/>
    <col min="12039" max="12289" width="9.140625" style="201"/>
    <col min="12290" max="12290" width="48.140625" style="201" customWidth="1"/>
    <col min="12291" max="12291" width="23.42578125" style="201" customWidth="1"/>
    <col min="12292" max="12292" width="20.140625" style="201" customWidth="1"/>
    <col min="12293" max="12293" width="23.85546875" style="201" customWidth="1"/>
    <col min="12294" max="12294" width="24" style="201" customWidth="1"/>
    <col min="12295" max="12545" width="9.140625" style="201"/>
    <col min="12546" max="12546" width="48.140625" style="201" customWidth="1"/>
    <col min="12547" max="12547" width="23.42578125" style="201" customWidth="1"/>
    <col min="12548" max="12548" width="20.140625" style="201" customWidth="1"/>
    <col min="12549" max="12549" width="23.85546875" style="201" customWidth="1"/>
    <col min="12550" max="12550" width="24" style="201" customWidth="1"/>
    <col min="12551" max="12801" width="9.140625" style="201"/>
    <col min="12802" max="12802" width="48.140625" style="201" customWidth="1"/>
    <col min="12803" max="12803" width="23.42578125" style="201" customWidth="1"/>
    <col min="12804" max="12804" width="20.140625" style="201" customWidth="1"/>
    <col min="12805" max="12805" width="23.85546875" style="201" customWidth="1"/>
    <col min="12806" max="12806" width="24" style="201" customWidth="1"/>
    <col min="12807" max="13057" width="9.140625" style="201"/>
    <col min="13058" max="13058" width="48.140625" style="201" customWidth="1"/>
    <col min="13059" max="13059" width="23.42578125" style="201" customWidth="1"/>
    <col min="13060" max="13060" width="20.140625" style="201" customWidth="1"/>
    <col min="13061" max="13061" width="23.85546875" style="201" customWidth="1"/>
    <col min="13062" max="13062" width="24" style="201" customWidth="1"/>
    <col min="13063" max="13313" width="9.140625" style="201"/>
    <col min="13314" max="13314" width="48.140625" style="201" customWidth="1"/>
    <col min="13315" max="13315" width="23.42578125" style="201" customWidth="1"/>
    <col min="13316" max="13316" width="20.140625" style="201" customWidth="1"/>
    <col min="13317" max="13317" width="23.85546875" style="201" customWidth="1"/>
    <col min="13318" max="13318" width="24" style="201" customWidth="1"/>
    <col min="13319" max="13569" width="9.140625" style="201"/>
    <col min="13570" max="13570" width="48.140625" style="201" customWidth="1"/>
    <col min="13571" max="13571" width="23.42578125" style="201" customWidth="1"/>
    <col min="13572" max="13572" width="20.140625" style="201" customWidth="1"/>
    <col min="13573" max="13573" width="23.85546875" style="201" customWidth="1"/>
    <col min="13574" max="13574" width="24" style="201" customWidth="1"/>
    <col min="13575" max="13825" width="9.140625" style="201"/>
    <col min="13826" max="13826" width="48.140625" style="201" customWidth="1"/>
    <col min="13827" max="13827" width="23.42578125" style="201" customWidth="1"/>
    <col min="13828" max="13828" width="20.140625" style="201" customWidth="1"/>
    <col min="13829" max="13829" width="23.85546875" style="201" customWidth="1"/>
    <col min="13830" max="13830" width="24" style="201" customWidth="1"/>
    <col min="13831" max="14081" width="9.140625" style="201"/>
    <col min="14082" max="14082" width="48.140625" style="201" customWidth="1"/>
    <col min="14083" max="14083" width="23.42578125" style="201" customWidth="1"/>
    <col min="14084" max="14084" width="20.140625" style="201" customWidth="1"/>
    <col min="14085" max="14085" width="23.85546875" style="201" customWidth="1"/>
    <col min="14086" max="14086" width="24" style="201" customWidth="1"/>
    <col min="14087" max="14337" width="9.140625" style="201"/>
    <col min="14338" max="14338" width="48.140625" style="201" customWidth="1"/>
    <col min="14339" max="14339" width="23.42578125" style="201" customWidth="1"/>
    <col min="14340" max="14340" width="20.140625" style="201" customWidth="1"/>
    <col min="14341" max="14341" width="23.85546875" style="201" customWidth="1"/>
    <col min="14342" max="14342" width="24" style="201" customWidth="1"/>
    <col min="14343" max="14593" width="9.140625" style="201"/>
    <col min="14594" max="14594" width="48.140625" style="201" customWidth="1"/>
    <col min="14595" max="14595" width="23.42578125" style="201" customWidth="1"/>
    <col min="14596" max="14596" width="20.140625" style="201" customWidth="1"/>
    <col min="14597" max="14597" width="23.85546875" style="201" customWidth="1"/>
    <col min="14598" max="14598" width="24" style="201" customWidth="1"/>
    <col min="14599" max="14849" width="9.140625" style="201"/>
    <col min="14850" max="14850" width="48.140625" style="201" customWidth="1"/>
    <col min="14851" max="14851" width="23.42578125" style="201" customWidth="1"/>
    <col min="14852" max="14852" width="20.140625" style="201" customWidth="1"/>
    <col min="14853" max="14853" width="23.85546875" style="201" customWidth="1"/>
    <col min="14854" max="14854" width="24" style="201" customWidth="1"/>
    <col min="14855" max="15105" width="9.140625" style="201"/>
    <col min="15106" max="15106" width="48.140625" style="201" customWidth="1"/>
    <col min="15107" max="15107" width="23.42578125" style="201" customWidth="1"/>
    <col min="15108" max="15108" width="20.140625" style="201" customWidth="1"/>
    <col min="15109" max="15109" width="23.85546875" style="201" customWidth="1"/>
    <col min="15110" max="15110" width="24" style="201" customWidth="1"/>
    <col min="15111" max="15361" width="9.140625" style="201"/>
    <col min="15362" max="15362" width="48.140625" style="201" customWidth="1"/>
    <col min="15363" max="15363" width="23.42578125" style="201" customWidth="1"/>
    <col min="15364" max="15364" width="20.140625" style="201" customWidth="1"/>
    <col min="15365" max="15365" width="23.85546875" style="201" customWidth="1"/>
    <col min="15366" max="15366" width="24" style="201" customWidth="1"/>
    <col min="15367" max="15617" width="9.140625" style="201"/>
    <col min="15618" max="15618" width="48.140625" style="201" customWidth="1"/>
    <col min="15619" max="15619" width="23.42578125" style="201" customWidth="1"/>
    <col min="15620" max="15620" width="20.140625" style="201" customWidth="1"/>
    <col min="15621" max="15621" width="23.85546875" style="201" customWidth="1"/>
    <col min="15622" max="15622" width="24" style="201" customWidth="1"/>
    <col min="15623" max="15873" width="9.140625" style="201"/>
    <col min="15874" max="15874" width="48.140625" style="201" customWidth="1"/>
    <col min="15875" max="15875" width="23.42578125" style="201" customWidth="1"/>
    <col min="15876" max="15876" width="20.140625" style="201" customWidth="1"/>
    <col min="15877" max="15877" width="23.85546875" style="201" customWidth="1"/>
    <col min="15878" max="15878" width="24" style="201" customWidth="1"/>
    <col min="15879" max="16129" width="9.140625" style="201"/>
    <col min="16130" max="16130" width="48.140625" style="201" customWidth="1"/>
    <col min="16131" max="16131" width="23.42578125" style="201" customWidth="1"/>
    <col min="16132" max="16132" width="20.140625" style="201" customWidth="1"/>
    <col min="16133" max="16133" width="23.85546875" style="201" customWidth="1"/>
    <col min="16134" max="16134" width="24" style="201" customWidth="1"/>
    <col min="16135" max="16384" width="9.140625" style="201"/>
  </cols>
  <sheetData>
    <row r="1" spans="1:7" s="189" customFormat="1" ht="15.75" x14ac:dyDescent="0.25">
      <c r="A1" s="189" t="s">
        <v>1092</v>
      </c>
      <c r="E1" s="190"/>
      <c r="G1" s="190"/>
    </row>
    <row r="2" spans="1:7" s="189" customFormat="1" ht="16.5" thickBot="1" x14ac:dyDescent="0.3">
      <c r="E2" s="190"/>
      <c r="G2" s="190"/>
    </row>
    <row r="3" spans="1:7" s="189" customFormat="1" ht="48" thickBot="1" x14ac:dyDescent="0.3">
      <c r="A3" s="191" t="s">
        <v>1061</v>
      </c>
      <c r="B3" s="192" t="s">
        <v>1075</v>
      </c>
      <c r="C3" s="192" t="s">
        <v>1093</v>
      </c>
      <c r="D3" s="192" t="s">
        <v>1094</v>
      </c>
      <c r="E3" s="193" t="s">
        <v>1093</v>
      </c>
      <c r="F3" s="194" t="s">
        <v>1095</v>
      </c>
      <c r="G3" s="193" t="s">
        <v>1093</v>
      </c>
    </row>
    <row r="4" spans="1:7" x14ac:dyDescent="0.2">
      <c r="A4" s="195" t="s">
        <v>1065</v>
      </c>
      <c r="B4" s="196">
        <f>'All Departments'!J506</f>
        <v>1438691</v>
      </c>
      <c r="C4" s="197">
        <f>B4/B14*100</f>
        <v>2.8049335196601999</v>
      </c>
      <c r="D4" s="196">
        <f>'All Departments'!K506</f>
        <v>980000</v>
      </c>
      <c r="E4" s="198">
        <f>D4/D14*100</f>
        <v>1.8240312393268578</v>
      </c>
      <c r="F4" s="199">
        <f>'All Departments'!L506</f>
        <v>1100000</v>
      </c>
      <c r="G4" s="200">
        <f>F4/F14*100</f>
        <v>2.4044110012732447</v>
      </c>
    </row>
    <row r="5" spans="1:7" x14ac:dyDescent="0.2">
      <c r="A5" s="195" t="s">
        <v>1066</v>
      </c>
      <c r="B5" s="196">
        <f>'All Departments'!J620</f>
        <v>100000</v>
      </c>
      <c r="C5" s="197">
        <f>B5/B14*100</f>
        <v>0.19496427792070706</v>
      </c>
      <c r="D5" s="196">
        <f>'All Departments'!K620</f>
        <v>1635000</v>
      </c>
      <c r="E5" s="198">
        <f>D5/D14*100</f>
        <v>3.0431541594891969</v>
      </c>
      <c r="F5" s="199">
        <f>'All Departments'!L620</f>
        <v>2000000</v>
      </c>
      <c r="G5" s="198">
        <f>F5/F14*100</f>
        <v>4.3716563659513543</v>
      </c>
    </row>
    <row r="6" spans="1:7" x14ac:dyDescent="0.2">
      <c r="A6" s="195" t="s">
        <v>1067</v>
      </c>
      <c r="B6" s="196">
        <f>'All Departments'!J698</f>
        <v>70000</v>
      </c>
      <c r="C6" s="197">
        <f>B6/B14*100</f>
        <v>0.13647499454449494</v>
      </c>
      <c r="D6" s="196">
        <f>'All Departments'!K698</f>
        <v>0</v>
      </c>
      <c r="E6" s="198">
        <f>D6/D14*100</f>
        <v>0</v>
      </c>
      <c r="F6" s="199">
        <f>'All Departments'!L698</f>
        <v>0</v>
      </c>
      <c r="G6" s="198">
        <f>F6/F14*100</f>
        <v>0</v>
      </c>
    </row>
    <row r="7" spans="1:7" x14ac:dyDescent="0.2">
      <c r="A7" s="195" t="s">
        <v>1068</v>
      </c>
      <c r="B7" s="196">
        <v>0</v>
      </c>
      <c r="C7" s="197">
        <f>B7/B14*100</f>
        <v>0</v>
      </c>
      <c r="D7" s="196">
        <v>0</v>
      </c>
      <c r="E7" s="198">
        <v>0</v>
      </c>
      <c r="F7" s="199">
        <v>0</v>
      </c>
      <c r="G7" s="198">
        <v>0</v>
      </c>
    </row>
    <row r="8" spans="1:7" x14ac:dyDescent="0.2">
      <c r="A8" s="195" t="s">
        <v>708</v>
      </c>
      <c r="B8" s="196">
        <f>'All Departments'!J921</f>
        <v>50000</v>
      </c>
      <c r="C8" s="197">
        <f>B8/B14*100</f>
        <v>9.7482138960353529E-2</v>
      </c>
      <c r="D8" s="196">
        <f>'All Departments'!K921</f>
        <v>0</v>
      </c>
      <c r="E8" s="198">
        <f>D8/D14*100</f>
        <v>0</v>
      </c>
      <c r="F8" s="199">
        <f>'All Departments'!L921</f>
        <v>70000</v>
      </c>
      <c r="G8" s="198">
        <f>F8/F14*100</f>
        <v>0.15300797280829739</v>
      </c>
    </row>
    <row r="9" spans="1:7" x14ac:dyDescent="0.2">
      <c r="A9" s="195" t="s">
        <v>1069</v>
      </c>
      <c r="B9" s="196">
        <f>'All Departments'!J1088</f>
        <v>5702550</v>
      </c>
      <c r="C9" s="197">
        <f>B9/B14*100</f>
        <v>11.117935430567281</v>
      </c>
      <c r="D9" s="196">
        <f>'All Departments'!K1088</f>
        <v>6284550</v>
      </c>
      <c r="E9" s="198">
        <f>D9/D14*100</f>
        <v>11.697158699093475</v>
      </c>
      <c r="F9" s="199">
        <f>'All Departments'!L1088</f>
        <v>6407250</v>
      </c>
      <c r="G9" s="198">
        <f>F9/F14*100</f>
        <v>14.00514762537091</v>
      </c>
    </row>
    <row r="10" spans="1:7" x14ac:dyDescent="0.2">
      <c r="A10" s="195" t="s">
        <v>1070</v>
      </c>
      <c r="B10" s="196">
        <f>'All Departments'!J1220+'All Departments'!J1232</f>
        <v>40589019.960000001</v>
      </c>
      <c r="C10" s="197">
        <f>B10/B14*100</f>
        <v>79.13408968010566</v>
      </c>
      <c r="D10" s="196">
        <f>'All Departments'!K1220+'All Departments'!K1234</f>
        <v>40777600</v>
      </c>
      <c r="E10" s="198">
        <f>D10/D14*100</f>
        <v>75.897567617117232</v>
      </c>
      <c r="F10" s="199">
        <f>'All Departments'!L1220+'All Departments'!L1234</f>
        <v>31872000</v>
      </c>
      <c r="G10" s="198">
        <f>F10/F14*100</f>
        <v>69.666715847800788</v>
      </c>
    </row>
    <row r="11" spans="1:7" x14ac:dyDescent="0.2">
      <c r="A11" s="202" t="s">
        <v>1071</v>
      </c>
      <c r="B11" s="203">
        <f>'All Departments'!J1351</f>
        <v>3341186.41</v>
      </c>
      <c r="C11" s="204">
        <f>B11/B14*100</f>
        <v>6.5141199582412952</v>
      </c>
      <c r="D11" s="203">
        <f>'All Departments'!K1351</f>
        <v>4050000</v>
      </c>
      <c r="E11" s="206">
        <f>D11/D14*100</f>
        <v>7.5380882849732389</v>
      </c>
      <c r="F11" s="205">
        <f>'All Departments'!L1351</f>
        <v>4300000</v>
      </c>
      <c r="G11" s="198">
        <f>F11/F14*100</f>
        <v>9.3990611867954108</v>
      </c>
    </row>
    <row r="12" spans="1:7" x14ac:dyDescent="0.2">
      <c r="A12" s="202" t="s">
        <v>1072</v>
      </c>
      <c r="B12" s="203">
        <v>0</v>
      </c>
      <c r="C12" s="204">
        <f>B12/B14*100</f>
        <v>0</v>
      </c>
      <c r="D12" s="203">
        <v>0</v>
      </c>
      <c r="E12" s="206"/>
      <c r="F12" s="205">
        <v>0</v>
      </c>
      <c r="G12" s="198"/>
    </row>
    <row r="13" spans="1:7" ht="15.75" thickBot="1" x14ac:dyDescent="0.25">
      <c r="A13" s="202"/>
      <c r="B13" s="202"/>
      <c r="C13" s="204"/>
      <c r="D13" s="202"/>
      <c r="E13" s="206"/>
      <c r="F13" s="207"/>
      <c r="G13" s="206"/>
    </row>
    <row r="14" spans="1:7" s="189" customFormat="1" ht="16.5" thickBot="1" x14ac:dyDescent="0.3">
      <c r="A14" s="191" t="s">
        <v>1073</v>
      </c>
      <c r="B14" s="208">
        <f>SUM(B4:B13)</f>
        <v>51291447.370000005</v>
      </c>
      <c r="C14" s="209">
        <f>SUM(C4:C12)</f>
        <v>99.999999999999986</v>
      </c>
      <c r="D14" s="208">
        <f>SUM(D4:D13)</f>
        <v>53727150</v>
      </c>
      <c r="E14" s="210">
        <f>D14/D14*100</f>
        <v>100</v>
      </c>
      <c r="F14" s="211">
        <f>SUM(F4:F13)</f>
        <v>45749250</v>
      </c>
      <c r="G14" s="210">
        <f>F14/F14*100</f>
        <v>100</v>
      </c>
    </row>
    <row r="16" spans="1:7" x14ac:dyDescent="0.2">
      <c r="B16" s="213">
        <f>B14-'All Departments'!J363</f>
        <v>0</v>
      </c>
      <c r="D16" s="212">
        <f>D14-'All Departments'!K363</f>
        <v>0</v>
      </c>
      <c r="F16" s="213">
        <f>F14-'All Departments'!L363</f>
        <v>0</v>
      </c>
    </row>
    <row r="17" spans="3:9" x14ac:dyDescent="0.2">
      <c r="I17" s="214">
        <v>0</v>
      </c>
    </row>
    <row r="18" spans="3:9" x14ac:dyDescent="0.2">
      <c r="D18" s="214"/>
    </row>
    <row r="21" spans="3:9" x14ac:dyDescent="0.2">
      <c r="C21" s="214"/>
      <c r="D21" s="2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9" sqref="D9"/>
    </sheetView>
  </sheetViews>
  <sheetFormatPr defaultRowHeight="15" x14ac:dyDescent="0.2"/>
  <cols>
    <col min="1" max="1" width="49.7109375" style="201" customWidth="1"/>
    <col min="2" max="2" width="20.42578125" style="212" customWidth="1"/>
    <col min="3" max="3" width="11.85546875" style="201" customWidth="1"/>
    <col min="4" max="4" width="16.85546875" style="201" customWidth="1"/>
    <col min="5" max="5" width="12.42578125" style="201" customWidth="1"/>
    <col min="6" max="6" width="20.42578125" style="212" customWidth="1"/>
    <col min="7" max="7" width="12.28515625" style="201" customWidth="1"/>
    <col min="8" max="8" width="20" style="212" customWidth="1"/>
    <col min="9" max="9" width="12.140625" style="201" customWidth="1"/>
    <col min="10" max="259" width="9.140625" style="201"/>
    <col min="260" max="260" width="48.140625" style="201" customWidth="1"/>
    <col min="261" max="261" width="23.42578125" style="201" customWidth="1"/>
    <col min="262" max="262" width="20.140625" style="201" customWidth="1"/>
    <col min="263" max="263" width="23.85546875" style="201" customWidth="1"/>
    <col min="264" max="264" width="24" style="201" customWidth="1"/>
    <col min="265" max="515" width="9.140625" style="201"/>
    <col min="516" max="516" width="48.140625" style="201" customWidth="1"/>
    <col min="517" max="517" width="23.42578125" style="201" customWidth="1"/>
    <col min="518" max="518" width="20.140625" style="201" customWidth="1"/>
    <col min="519" max="519" width="23.85546875" style="201" customWidth="1"/>
    <col min="520" max="520" width="24" style="201" customWidth="1"/>
    <col min="521" max="771" width="9.140625" style="201"/>
    <col min="772" max="772" width="48.140625" style="201" customWidth="1"/>
    <col min="773" max="773" width="23.42578125" style="201" customWidth="1"/>
    <col min="774" max="774" width="20.140625" style="201" customWidth="1"/>
    <col min="775" max="775" width="23.85546875" style="201" customWidth="1"/>
    <col min="776" max="776" width="24" style="201" customWidth="1"/>
    <col min="777" max="1027" width="9.140625" style="201"/>
    <col min="1028" max="1028" width="48.140625" style="201" customWidth="1"/>
    <col min="1029" max="1029" width="23.42578125" style="201" customWidth="1"/>
    <col min="1030" max="1030" width="20.140625" style="201" customWidth="1"/>
    <col min="1031" max="1031" width="23.85546875" style="201" customWidth="1"/>
    <col min="1032" max="1032" width="24" style="201" customWidth="1"/>
    <col min="1033" max="1283" width="9.140625" style="201"/>
    <col min="1284" max="1284" width="48.140625" style="201" customWidth="1"/>
    <col min="1285" max="1285" width="23.42578125" style="201" customWidth="1"/>
    <col min="1286" max="1286" width="20.140625" style="201" customWidth="1"/>
    <col min="1287" max="1287" width="23.85546875" style="201" customWidth="1"/>
    <col min="1288" max="1288" width="24" style="201" customWidth="1"/>
    <col min="1289" max="1539" width="9.140625" style="201"/>
    <col min="1540" max="1540" width="48.140625" style="201" customWidth="1"/>
    <col min="1541" max="1541" width="23.42578125" style="201" customWidth="1"/>
    <col min="1542" max="1542" width="20.140625" style="201" customWidth="1"/>
    <col min="1543" max="1543" width="23.85546875" style="201" customWidth="1"/>
    <col min="1544" max="1544" width="24" style="201" customWidth="1"/>
    <col min="1545" max="1795" width="9.140625" style="201"/>
    <col min="1796" max="1796" width="48.140625" style="201" customWidth="1"/>
    <col min="1797" max="1797" width="23.42578125" style="201" customWidth="1"/>
    <col min="1798" max="1798" width="20.140625" style="201" customWidth="1"/>
    <col min="1799" max="1799" width="23.85546875" style="201" customWidth="1"/>
    <col min="1800" max="1800" width="24" style="201" customWidth="1"/>
    <col min="1801" max="2051" width="9.140625" style="201"/>
    <col min="2052" max="2052" width="48.140625" style="201" customWidth="1"/>
    <col min="2053" max="2053" width="23.42578125" style="201" customWidth="1"/>
    <col min="2054" max="2054" width="20.140625" style="201" customWidth="1"/>
    <col min="2055" max="2055" width="23.85546875" style="201" customWidth="1"/>
    <col min="2056" max="2056" width="24" style="201" customWidth="1"/>
    <col min="2057" max="2307" width="9.140625" style="201"/>
    <col min="2308" max="2308" width="48.140625" style="201" customWidth="1"/>
    <col min="2309" max="2309" width="23.42578125" style="201" customWidth="1"/>
    <col min="2310" max="2310" width="20.140625" style="201" customWidth="1"/>
    <col min="2311" max="2311" width="23.85546875" style="201" customWidth="1"/>
    <col min="2312" max="2312" width="24" style="201" customWidth="1"/>
    <col min="2313" max="2563" width="9.140625" style="201"/>
    <col min="2564" max="2564" width="48.140625" style="201" customWidth="1"/>
    <col min="2565" max="2565" width="23.42578125" style="201" customWidth="1"/>
    <col min="2566" max="2566" width="20.140625" style="201" customWidth="1"/>
    <col min="2567" max="2567" width="23.85546875" style="201" customWidth="1"/>
    <col min="2568" max="2568" width="24" style="201" customWidth="1"/>
    <col min="2569" max="2819" width="9.140625" style="201"/>
    <col min="2820" max="2820" width="48.140625" style="201" customWidth="1"/>
    <col min="2821" max="2821" width="23.42578125" style="201" customWidth="1"/>
    <col min="2822" max="2822" width="20.140625" style="201" customWidth="1"/>
    <col min="2823" max="2823" width="23.85546875" style="201" customWidth="1"/>
    <col min="2824" max="2824" width="24" style="201" customWidth="1"/>
    <col min="2825" max="3075" width="9.140625" style="201"/>
    <col min="3076" max="3076" width="48.140625" style="201" customWidth="1"/>
    <col min="3077" max="3077" width="23.42578125" style="201" customWidth="1"/>
    <col min="3078" max="3078" width="20.140625" style="201" customWidth="1"/>
    <col min="3079" max="3079" width="23.85546875" style="201" customWidth="1"/>
    <col min="3080" max="3080" width="24" style="201" customWidth="1"/>
    <col min="3081" max="3331" width="9.140625" style="201"/>
    <col min="3332" max="3332" width="48.140625" style="201" customWidth="1"/>
    <col min="3333" max="3333" width="23.42578125" style="201" customWidth="1"/>
    <col min="3334" max="3334" width="20.140625" style="201" customWidth="1"/>
    <col min="3335" max="3335" width="23.85546875" style="201" customWidth="1"/>
    <col min="3336" max="3336" width="24" style="201" customWidth="1"/>
    <col min="3337" max="3587" width="9.140625" style="201"/>
    <col min="3588" max="3588" width="48.140625" style="201" customWidth="1"/>
    <col min="3589" max="3589" width="23.42578125" style="201" customWidth="1"/>
    <col min="3590" max="3590" width="20.140625" style="201" customWidth="1"/>
    <col min="3591" max="3591" width="23.85546875" style="201" customWidth="1"/>
    <col min="3592" max="3592" width="24" style="201" customWidth="1"/>
    <col min="3593" max="3843" width="9.140625" style="201"/>
    <col min="3844" max="3844" width="48.140625" style="201" customWidth="1"/>
    <col min="3845" max="3845" width="23.42578125" style="201" customWidth="1"/>
    <col min="3846" max="3846" width="20.140625" style="201" customWidth="1"/>
    <col min="3847" max="3847" width="23.85546875" style="201" customWidth="1"/>
    <col min="3848" max="3848" width="24" style="201" customWidth="1"/>
    <col min="3849" max="4099" width="9.140625" style="201"/>
    <col min="4100" max="4100" width="48.140625" style="201" customWidth="1"/>
    <col min="4101" max="4101" width="23.42578125" style="201" customWidth="1"/>
    <col min="4102" max="4102" width="20.140625" style="201" customWidth="1"/>
    <col min="4103" max="4103" width="23.85546875" style="201" customWidth="1"/>
    <col min="4104" max="4104" width="24" style="201" customWidth="1"/>
    <col min="4105" max="4355" width="9.140625" style="201"/>
    <col min="4356" max="4356" width="48.140625" style="201" customWidth="1"/>
    <col min="4357" max="4357" width="23.42578125" style="201" customWidth="1"/>
    <col min="4358" max="4358" width="20.140625" style="201" customWidth="1"/>
    <col min="4359" max="4359" width="23.85546875" style="201" customWidth="1"/>
    <col min="4360" max="4360" width="24" style="201" customWidth="1"/>
    <col min="4361" max="4611" width="9.140625" style="201"/>
    <col min="4612" max="4612" width="48.140625" style="201" customWidth="1"/>
    <col min="4613" max="4613" width="23.42578125" style="201" customWidth="1"/>
    <col min="4614" max="4614" width="20.140625" style="201" customWidth="1"/>
    <col min="4615" max="4615" width="23.85546875" style="201" customWidth="1"/>
    <col min="4616" max="4616" width="24" style="201" customWidth="1"/>
    <col min="4617" max="4867" width="9.140625" style="201"/>
    <col min="4868" max="4868" width="48.140625" style="201" customWidth="1"/>
    <col min="4869" max="4869" width="23.42578125" style="201" customWidth="1"/>
    <col min="4870" max="4870" width="20.140625" style="201" customWidth="1"/>
    <col min="4871" max="4871" width="23.85546875" style="201" customWidth="1"/>
    <col min="4872" max="4872" width="24" style="201" customWidth="1"/>
    <col min="4873" max="5123" width="9.140625" style="201"/>
    <col min="5124" max="5124" width="48.140625" style="201" customWidth="1"/>
    <col min="5125" max="5125" width="23.42578125" style="201" customWidth="1"/>
    <col min="5126" max="5126" width="20.140625" style="201" customWidth="1"/>
    <col min="5127" max="5127" width="23.85546875" style="201" customWidth="1"/>
    <col min="5128" max="5128" width="24" style="201" customWidth="1"/>
    <col min="5129" max="5379" width="9.140625" style="201"/>
    <col min="5380" max="5380" width="48.140625" style="201" customWidth="1"/>
    <col min="5381" max="5381" width="23.42578125" style="201" customWidth="1"/>
    <col min="5382" max="5382" width="20.140625" style="201" customWidth="1"/>
    <col min="5383" max="5383" width="23.85546875" style="201" customWidth="1"/>
    <col min="5384" max="5384" width="24" style="201" customWidth="1"/>
    <col min="5385" max="5635" width="9.140625" style="201"/>
    <col min="5636" max="5636" width="48.140625" style="201" customWidth="1"/>
    <col min="5637" max="5637" width="23.42578125" style="201" customWidth="1"/>
    <col min="5638" max="5638" width="20.140625" style="201" customWidth="1"/>
    <col min="5639" max="5639" width="23.85546875" style="201" customWidth="1"/>
    <col min="5640" max="5640" width="24" style="201" customWidth="1"/>
    <col min="5641" max="5891" width="9.140625" style="201"/>
    <col min="5892" max="5892" width="48.140625" style="201" customWidth="1"/>
    <col min="5893" max="5893" width="23.42578125" style="201" customWidth="1"/>
    <col min="5894" max="5894" width="20.140625" style="201" customWidth="1"/>
    <col min="5895" max="5895" width="23.85546875" style="201" customWidth="1"/>
    <col min="5896" max="5896" width="24" style="201" customWidth="1"/>
    <col min="5897" max="6147" width="9.140625" style="201"/>
    <col min="6148" max="6148" width="48.140625" style="201" customWidth="1"/>
    <col min="6149" max="6149" width="23.42578125" style="201" customWidth="1"/>
    <col min="6150" max="6150" width="20.140625" style="201" customWidth="1"/>
    <col min="6151" max="6151" width="23.85546875" style="201" customWidth="1"/>
    <col min="6152" max="6152" width="24" style="201" customWidth="1"/>
    <col min="6153" max="6403" width="9.140625" style="201"/>
    <col min="6404" max="6404" width="48.140625" style="201" customWidth="1"/>
    <col min="6405" max="6405" width="23.42578125" style="201" customWidth="1"/>
    <col min="6406" max="6406" width="20.140625" style="201" customWidth="1"/>
    <col min="6407" max="6407" width="23.85546875" style="201" customWidth="1"/>
    <col min="6408" max="6408" width="24" style="201" customWidth="1"/>
    <col min="6409" max="6659" width="9.140625" style="201"/>
    <col min="6660" max="6660" width="48.140625" style="201" customWidth="1"/>
    <col min="6661" max="6661" width="23.42578125" style="201" customWidth="1"/>
    <col min="6662" max="6662" width="20.140625" style="201" customWidth="1"/>
    <col min="6663" max="6663" width="23.85546875" style="201" customWidth="1"/>
    <col min="6664" max="6664" width="24" style="201" customWidth="1"/>
    <col min="6665" max="6915" width="9.140625" style="201"/>
    <col min="6916" max="6916" width="48.140625" style="201" customWidth="1"/>
    <col min="6917" max="6917" width="23.42578125" style="201" customWidth="1"/>
    <col min="6918" max="6918" width="20.140625" style="201" customWidth="1"/>
    <col min="6919" max="6919" width="23.85546875" style="201" customWidth="1"/>
    <col min="6920" max="6920" width="24" style="201" customWidth="1"/>
    <col min="6921" max="7171" width="9.140625" style="201"/>
    <col min="7172" max="7172" width="48.140625" style="201" customWidth="1"/>
    <col min="7173" max="7173" width="23.42578125" style="201" customWidth="1"/>
    <col min="7174" max="7174" width="20.140625" style="201" customWidth="1"/>
    <col min="7175" max="7175" width="23.85546875" style="201" customWidth="1"/>
    <col min="7176" max="7176" width="24" style="201" customWidth="1"/>
    <col min="7177" max="7427" width="9.140625" style="201"/>
    <col min="7428" max="7428" width="48.140625" style="201" customWidth="1"/>
    <col min="7429" max="7429" width="23.42578125" style="201" customWidth="1"/>
    <col min="7430" max="7430" width="20.140625" style="201" customWidth="1"/>
    <col min="7431" max="7431" width="23.85546875" style="201" customWidth="1"/>
    <col min="7432" max="7432" width="24" style="201" customWidth="1"/>
    <col min="7433" max="7683" width="9.140625" style="201"/>
    <col min="7684" max="7684" width="48.140625" style="201" customWidth="1"/>
    <col min="7685" max="7685" width="23.42578125" style="201" customWidth="1"/>
    <col min="7686" max="7686" width="20.140625" style="201" customWidth="1"/>
    <col min="7687" max="7687" width="23.85546875" style="201" customWidth="1"/>
    <col min="7688" max="7688" width="24" style="201" customWidth="1"/>
    <col min="7689" max="7939" width="9.140625" style="201"/>
    <col min="7940" max="7940" width="48.140625" style="201" customWidth="1"/>
    <col min="7941" max="7941" width="23.42578125" style="201" customWidth="1"/>
    <col min="7942" max="7942" width="20.140625" style="201" customWidth="1"/>
    <col min="7943" max="7943" width="23.85546875" style="201" customWidth="1"/>
    <col min="7944" max="7944" width="24" style="201" customWidth="1"/>
    <col min="7945" max="8195" width="9.140625" style="201"/>
    <col min="8196" max="8196" width="48.140625" style="201" customWidth="1"/>
    <col min="8197" max="8197" width="23.42578125" style="201" customWidth="1"/>
    <col min="8198" max="8198" width="20.140625" style="201" customWidth="1"/>
    <col min="8199" max="8199" width="23.85546875" style="201" customWidth="1"/>
    <col min="8200" max="8200" width="24" style="201" customWidth="1"/>
    <col min="8201" max="8451" width="9.140625" style="201"/>
    <col min="8452" max="8452" width="48.140625" style="201" customWidth="1"/>
    <col min="8453" max="8453" width="23.42578125" style="201" customWidth="1"/>
    <col min="8454" max="8454" width="20.140625" style="201" customWidth="1"/>
    <col min="8455" max="8455" width="23.85546875" style="201" customWidth="1"/>
    <col min="8456" max="8456" width="24" style="201" customWidth="1"/>
    <col min="8457" max="8707" width="9.140625" style="201"/>
    <col min="8708" max="8708" width="48.140625" style="201" customWidth="1"/>
    <col min="8709" max="8709" width="23.42578125" style="201" customWidth="1"/>
    <col min="8710" max="8710" width="20.140625" style="201" customWidth="1"/>
    <col min="8711" max="8711" width="23.85546875" style="201" customWidth="1"/>
    <col min="8712" max="8712" width="24" style="201" customWidth="1"/>
    <col min="8713" max="8963" width="9.140625" style="201"/>
    <col min="8964" max="8964" width="48.140625" style="201" customWidth="1"/>
    <col min="8965" max="8965" width="23.42578125" style="201" customWidth="1"/>
    <col min="8966" max="8966" width="20.140625" style="201" customWidth="1"/>
    <col min="8967" max="8967" width="23.85546875" style="201" customWidth="1"/>
    <col min="8968" max="8968" width="24" style="201" customWidth="1"/>
    <col min="8969" max="9219" width="9.140625" style="201"/>
    <col min="9220" max="9220" width="48.140625" style="201" customWidth="1"/>
    <col min="9221" max="9221" width="23.42578125" style="201" customWidth="1"/>
    <col min="9222" max="9222" width="20.140625" style="201" customWidth="1"/>
    <col min="9223" max="9223" width="23.85546875" style="201" customWidth="1"/>
    <col min="9224" max="9224" width="24" style="201" customWidth="1"/>
    <col min="9225" max="9475" width="9.140625" style="201"/>
    <col min="9476" max="9476" width="48.140625" style="201" customWidth="1"/>
    <col min="9477" max="9477" width="23.42578125" style="201" customWidth="1"/>
    <col min="9478" max="9478" width="20.140625" style="201" customWidth="1"/>
    <col min="9479" max="9479" width="23.85546875" style="201" customWidth="1"/>
    <col min="9480" max="9480" width="24" style="201" customWidth="1"/>
    <col min="9481" max="9731" width="9.140625" style="201"/>
    <col min="9732" max="9732" width="48.140625" style="201" customWidth="1"/>
    <col min="9733" max="9733" width="23.42578125" style="201" customWidth="1"/>
    <col min="9734" max="9734" width="20.140625" style="201" customWidth="1"/>
    <col min="9735" max="9735" width="23.85546875" style="201" customWidth="1"/>
    <col min="9736" max="9736" width="24" style="201" customWidth="1"/>
    <col min="9737" max="9987" width="9.140625" style="201"/>
    <col min="9988" max="9988" width="48.140625" style="201" customWidth="1"/>
    <col min="9989" max="9989" width="23.42578125" style="201" customWidth="1"/>
    <col min="9990" max="9990" width="20.140625" style="201" customWidth="1"/>
    <col min="9991" max="9991" width="23.85546875" style="201" customWidth="1"/>
    <col min="9992" max="9992" width="24" style="201" customWidth="1"/>
    <col min="9993" max="10243" width="9.140625" style="201"/>
    <col min="10244" max="10244" width="48.140625" style="201" customWidth="1"/>
    <col min="10245" max="10245" width="23.42578125" style="201" customWidth="1"/>
    <col min="10246" max="10246" width="20.140625" style="201" customWidth="1"/>
    <col min="10247" max="10247" width="23.85546875" style="201" customWidth="1"/>
    <col min="10248" max="10248" width="24" style="201" customWidth="1"/>
    <col min="10249" max="10499" width="9.140625" style="201"/>
    <col min="10500" max="10500" width="48.140625" style="201" customWidth="1"/>
    <col min="10501" max="10501" width="23.42578125" style="201" customWidth="1"/>
    <col min="10502" max="10502" width="20.140625" style="201" customWidth="1"/>
    <col min="10503" max="10503" width="23.85546875" style="201" customWidth="1"/>
    <col min="10504" max="10504" width="24" style="201" customWidth="1"/>
    <col min="10505" max="10755" width="9.140625" style="201"/>
    <col min="10756" max="10756" width="48.140625" style="201" customWidth="1"/>
    <col min="10757" max="10757" width="23.42578125" style="201" customWidth="1"/>
    <col min="10758" max="10758" width="20.140625" style="201" customWidth="1"/>
    <col min="10759" max="10759" width="23.85546875" style="201" customWidth="1"/>
    <col min="10760" max="10760" width="24" style="201" customWidth="1"/>
    <col min="10761" max="11011" width="9.140625" style="201"/>
    <col min="11012" max="11012" width="48.140625" style="201" customWidth="1"/>
    <col min="11013" max="11013" width="23.42578125" style="201" customWidth="1"/>
    <col min="11014" max="11014" width="20.140625" style="201" customWidth="1"/>
    <col min="11015" max="11015" width="23.85546875" style="201" customWidth="1"/>
    <col min="11016" max="11016" width="24" style="201" customWidth="1"/>
    <col min="11017" max="11267" width="9.140625" style="201"/>
    <col min="11268" max="11268" width="48.140625" style="201" customWidth="1"/>
    <col min="11269" max="11269" width="23.42578125" style="201" customWidth="1"/>
    <col min="11270" max="11270" width="20.140625" style="201" customWidth="1"/>
    <col min="11271" max="11271" width="23.85546875" style="201" customWidth="1"/>
    <col min="11272" max="11272" width="24" style="201" customWidth="1"/>
    <col min="11273" max="11523" width="9.140625" style="201"/>
    <col min="11524" max="11524" width="48.140625" style="201" customWidth="1"/>
    <col min="11525" max="11525" width="23.42578125" style="201" customWidth="1"/>
    <col min="11526" max="11526" width="20.140625" style="201" customWidth="1"/>
    <col min="11527" max="11527" width="23.85546875" style="201" customWidth="1"/>
    <col min="11528" max="11528" width="24" style="201" customWidth="1"/>
    <col min="11529" max="11779" width="9.140625" style="201"/>
    <col min="11780" max="11780" width="48.140625" style="201" customWidth="1"/>
    <col min="11781" max="11781" width="23.42578125" style="201" customWidth="1"/>
    <col min="11782" max="11782" width="20.140625" style="201" customWidth="1"/>
    <col min="11783" max="11783" width="23.85546875" style="201" customWidth="1"/>
    <col min="11784" max="11784" width="24" style="201" customWidth="1"/>
    <col min="11785" max="12035" width="9.140625" style="201"/>
    <col min="12036" max="12036" width="48.140625" style="201" customWidth="1"/>
    <col min="12037" max="12037" width="23.42578125" style="201" customWidth="1"/>
    <col min="12038" max="12038" width="20.140625" style="201" customWidth="1"/>
    <col min="12039" max="12039" width="23.85546875" style="201" customWidth="1"/>
    <col min="12040" max="12040" width="24" style="201" customWidth="1"/>
    <col min="12041" max="12291" width="9.140625" style="201"/>
    <col min="12292" max="12292" width="48.140625" style="201" customWidth="1"/>
    <col min="12293" max="12293" width="23.42578125" style="201" customWidth="1"/>
    <col min="12294" max="12294" width="20.140625" style="201" customWidth="1"/>
    <col min="12295" max="12295" width="23.85546875" style="201" customWidth="1"/>
    <col min="12296" max="12296" width="24" style="201" customWidth="1"/>
    <col min="12297" max="12547" width="9.140625" style="201"/>
    <col min="12548" max="12548" width="48.140625" style="201" customWidth="1"/>
    <col min="12549" max="12549" width="23.42578125" style="201" customWidth="1"/>
    <col min="12550" max="12550" width="20.140625" style="201" customWidth="1"/>
    <col min="12551" max="12551" width="23.85546875" style="201" customWidth="1"/>
    <col min="12552" max="12552" width="24" style="201" customWidth="1"/>
    <col min="12553" max="12803" width="9.140625" style="201"/>
    <col min="12804" max="12804" width="48.140625" style="201" customWidth="1"/>
    <col min="12805" max="12805" width="23.42578125" style="201" customWidth="1"/>
    <col min="12806" max="12806" width="20.140625" style="201" customWidth="1"/>
    <col min="12807" max="12807" width="23.85546875" style="201" customWidth="1"/>
    <col min="12808" max="12808" width="24" style="201" customWidth="1"/>
    <col min="12809" max="13059" width="9.140625" style="201"/>
    <col min="13060" max="13060" width="48.140625" style="201" customWidth="1"/>
    <col min="13061" max="13061" width="23.42578125" style="201" customWidth="1"/>
    <col min="13062" max="13062" width="20.140625" style="201" customWidth="1"/>
    <col min="13063" max="13063" width="23.85546875" style="201" customWidth="1"/>
    <col min="13064" max="13064" width="24" style="201" customWidth="1"/>
    <col min="13065" max="13315" width="9.140625" style="201"/>
    <col min="13316" max="13316" width="48.140625" style="201" customWidth="1"/>
    <col min="13317" max="13317" width="23.42578125" style="201" customWidth="1"/>
    <col min="13318" max="13318" width="20.140625" style="201" customWidth="1"/>
    <col min="13319" max="13319" width="23.85546875" style="201" customWidth="1"/>
    <col min="13320" max="13320" width="24" style="201" customWidth="1"/>
    <col min="13321" max="13571" width="9.140625" style="201"/>
    <col min="13572" max="13572" width="48.140625" style="201" customWidth="1"/>
    <col min="13573" max="13573" width="23.42578125" style="201" customWidth="1"/>
    <col min="13574" max="13574" width="20.140625" style="201" customWidth="1"/>
    <col min="13575" max="13575" width="23.85546875" style="201" customWidth="1"/>
    <col min="13576" max="13576" width="24" style="201" customWidth="1"/>
    <col min="13577" max="13827" width="9.140625" style="201"/>
    <col min="13828" max="13828" width="48.140625" style="201" customWidth="1"/>
    <col min="13829" max="13829" width="23.42578125" style="201" customWidth="1"/>
    <col min="13830" max="13830" width="20.140625" style="201" customWidth="1"/>
    <col min="13831" max="13831" width="23.85546875" style="201" customWidth="1"/>
    <col min="13832" max="13832" width="24" style="201" customWidth="1"/>
    <col min="13833" max="14083" width="9.140625" style="201"/>
    <col min="14084" max="14084" width="48.140625" style="201" customWidth="1"/>
    <col min="14085" max="14085" width="23.42578125" style="201" customWidth="1"/>
    <col min="14086" max="14086" width="20.140625" style="201" customWidth="1"/>
    <col min="14087" max="14087" width="23.85546875" style="201" customWidth="1"/>
    <col min="14088" max="14088" width="24" style="201" customWidth="1"/>
    <col min="14089" max="14339" width="9.140625" style="201"/>
    <col min="14340" max="14340" width="48.140625" style="201" customWidth="1"/>
    <col min="14341" max="14341" width="23.42578125" style="201" customWidth="1"/>
    <col min="14342" max="14342" width="20.140625" style="201" customWidth="1"/>
    <col min="14343" max="14343" width="23.85546875" style="201" customWidth="1"/>
    <col min="14344" max="14344" width="24" style="201" customWidth="1"/>
    <col min="14345" max="14595" width="9.140625" style="201"/>
    <col min="14596" max="14596" width="48.140625" style="201" customWidth="1"/>
    <col min="14597" max="14597" width="23.42578125" style="201" customWidth="1"/>
    <col min="14598" max="14598" width="20.140625" style="201" customWidth="1"/>
    <col min="14599" max="14599" width="23.85546875" style="201" customWidth="1"/>
    <col min="14600" max="14600" width="24" style="201" customWidth="1"/>
    <col min="14601" max="14851" width="9.140625" style="201"/>
    <col min="14852" max="14852" width="48.140625" style="201" customWidth="1"/>
    <col min="14853" max="14853" width="23.42578125" style="201" customWidth="1"/>
    <col min="14854" max="14854" width="20.140625" style="201" customWidth="1"/>
    <col min="14855" max="14855" width="23.85546875" style="201" customWidth="1"/>
    <col min="14856" max="14856" width="24" style="201" customWidth="1"/>
    <col min="14857" max="15107" width="9.140625" style="201"/>
    <col min="15108" max="15108" width="48.140625" style="201" customWidth="1"/>
    <col min="15109" max="15109" width="23.42578125" style="201" customWidth="1"/>
    <col min="15110" max="15110" width="20.140625" style="201" customWidth="1"/>
    <col min="15111" max="15111" width="23.85546875" style="201" customWidth="1"/>
    <col min="15112" max="15112" width="24" style="201" customWidth="1"/>
    <col min="15113" max="15363" width="9.140625" style="201"/>
    <col min="15364" max="15364" width="48.140625" style="201" customWidth="1"/>
    <col min="15365" max="15365" width="23.42578125" style="201" customWidth="1"/>
    <col min="15366" max="15366" width="20.140625" style="201" customWidth="1"/>
    <col min="15367" max="15367" width="23.85546875" style="201" customWidth="1"/>
    <col min="15368" max="15368" width="24" style="201" customWidth="1"/>
    <col min="15369" max="15619" width="9.140625" style="201"/>
    <col min="15620" max="15620" width="48.140625" style="201" customWidth="1"/>
    <col min="15621" max="15621" width="23.42578125" style="201" customWidth="1"/>
    <col min="15622" max="15622" width="20.140625" style="201" customWidth="1"/>
    <col min="15623" max="15623" width="23.85546875" style="201" customWidth="1"/>
    <col min="15624" max="15624" width="24" style="201" customWidth="1"/>
    <col min="15625" max="15875" width="9.140625" style="201"/>
    <col min="15876" max="15876" width="48.140625" style="201" customWidth="1"/>
    <col min="15877" max="15877" width="23.42578125" style="201" customWidth="1"/>
    <col min="15878" max="15878" width="20.140625" style="201" customWidth="1"/>
    <col min="15879" max="15879" width="23.85546875" style="201" customWidth="1"/>
    <col min="15880" max="15880" width="24" style="201" customWidth="1"/>
    <col min="15881" max="16131" width="9.140625" style="201"/>
    <col min="16132" max="16132" width="48.140625" style="201" customWidth="1"/>
    <col min="16133" max="16133" width="23.42578125" style="201" customWidth="1"/>
    <col min="16134" max="16134" width="20.140625" style="201" customWidth="1"/>
    <col min="16135" max="16135" width="23.85546875" style="201" customWidth="1"/>
    <col min="16136" max="16136" width="24" style="201" customWidth="1"/>
    <col min="16137" max="16384" width="9.140625" style="201"/>
  </cols>
  <sheetData>
    <row r="1" spans="1:9" s="189" customFormat="1" ht="15.75" x14ac:dyDescent="0.25">
      <c r="A1" s="189" t="s">
        <v>1100</v>
      </c>
      <c r="B1" s="190"/>
      <c r="F1" s="190"/>
      <c r="H1" s="190"/>
    </row>
    <row r="2" spans="1:9" s="189" customFormat="1" ht="16.5" thickBot="1" x14ac:dyDescent="0.3">
      <c r="B2" s="190"/>
      <c r="F2" s="190"/>
      <c r="H2" s="190"/>
    </row>
    <row r="3" spans="1:9" s="189" customFormat="1" ht="32.25" thickBot="1" x14ac:dyDescent="0.3">
      <c r="A3" s="191" t="s">
        <v>1061</v>
      </c>
      <c r="B3" s="193" t="s">
        <v>1101</v>
      </c>
      <c r="C3" s="192" t="s">
        <v>1105</v>
      </c>
      <c r="D3" s="193" t="s">
        <v>1101</v>
      </c>
      <c r="E3" s="192" t="s">
        <v>1105</v>
      </c>
      <c r="F3" s="193" t="s">
        <v>1102</v>
      </c>
      <c r="G3" s="192" t="s">
        <v>1105</v>
      </c>
      <c r="H3" s="221" t="s">
        <v>1103</v>
      </c>
      <c r="I3" s="192" t="s">
        <v>1105</v>
      </c>
    </row>
    <row r="4" spans="1:9" x14ac:dyDescent="0.2">
      <c r="A4" s="195" t="s">
        <v>1065</v>
      </c>
      <c r="B4" s="198">
        <f>'[3]ALL DEPARTMENTS'!H521</f>
        <v>-393275.272</v>
      </c>
      <c r="C4" s="197">
        <f>B4/B14*100</f>
        <v>0.2152962828135456</v>
      </c>
      <c r="D4" s="197">
        <f>'All Departments'!J476</f>
        <v>-390783</v>
      </c>
      <c r="E4" s="197">
        <f>D4/D14*100</f>
        <v>0.25892372421417681</v>
      </c>
      <c r="F4" s="198">
        <f>'All Departments'!K476</f>
        <v>-414229.98</v>
      </c>
      <c r="G4" s="196"/>
      <c r="H4" s="222">
        <f>'All Departments'!L476</f>
        <v>-439083.77879999997</v>
      </c>
      <c r="I4" s="309"/>
    </row>
    <row r="5" spans="1:9" x14ac:dyDescent="0.2">
      <c r="A5" s="195" t="s">
        <v>1066</v>
      </c>
      <c r="B5" s="198">
        <f>'[3]ALL DEPARTMENTS'!H651</f>
        <v>-549048.12800000003</v>
      </c>
      <c r="C5" s="197">
        <f>B5/B14*100</f>
        <v>0.30057323574652772</v>
      </c>
      <c r="D5" s="197">
        <f>'All Departments'!J600</f>
        <v>-493857.81</v>
      </c>
      <c r="E5" s="197"/>
      <c r="F5" s="198">
        <f>'All Departments'!K600</f>
        <v>-2099489.2786000003</v>
      </c>
      <c r="G5" s="196"/>
      <c r="H5" s="222">
        <f>'All Departments'!L600</f>
        <v>-3655458.6353159999</v>
      </c>
      <c r="I5" s="195"/>
    </row>
    <row r="6" spans="1:9" x14ac:dyDescent="0.2">
      <c r="A6" s="195" t="s">
        <v>1067</v>
      </c>
      <c r="B6" s="198">
        <v>0</v>
      </c>
      <c r="C6" s="197">
        <f>B6/B14*100</f>
        <v>0</v>
      </c>
      <c r="D6" s="197">
        <v>0</v>
      </c>
      <c r="E6" s="197"/>
      <c r="F6" s="198">
        <v>0</v>
      </c>
      <c r="G6" s="196"/>
      <c r="H6" s="222">
        <v>0</v>
      </c>
      <c r="I6" s="195"/>
    </row>
    <row r="7" spans="1:9" x14ac:dyDescent="0.2">
      <c r="A7" s="195" t="s">
        <v>1068</v>
      </c>
      <c r="B7" s="198">
        <v>0</v>
      </c>
      <c r="C7" s="197">
        <f>B7/B14*100</f>
        <v>0</v>
      </c>
      <c r="D7" s="197">
        <v>0</v>
      </c>
      <c r="E7" s="197"/>
      <c r="F7" s="198">
        <v>0</v>
      </c>
      <c r="G7" s="196"/>
      <c r="H7" s="222">
        <v>0</v>
      </c>
      <c r="I7" s="195"/>
    </row>
    <row r="8" spans="1:9" x14ac:dyDescent="0.2">
      <c r="A8" s="195" t="s">
        <v>708</v>
      </c>
      <c r="B8" s="198">
        <f>'[3]ALL DEPARTMENTS'!H971</f>
        <v>-125699771.896</v>
      </c>
      <c r="C8" s="197">
        <f>B8/B14*100</f>
        <v>68.813616228887611</v>
      </c>
      <c r="D8" s="197">
        <f>'All Departments'!J906</f>
        <v>-140808880.72</v>
      </c>
      <c r="E8" s="197"/>
      <c r="F8" s="198">
        <f>'All Departments'!K906</f>
        <v>-143232013.5632</v>
      </c>
      <c r="G8" s="196"/>
      <c r="H8" s="222">
        <f>'All Departments'!L906</f>
        <v>-141466616.37699199</v>
      </c>
      <c r="I8" s="195"/>
    </row>
    <row r="9" spans="1:9" x14ac:dyDescent="0.2">
      <c r="A9" s="195" t="s">
        <v>1069</v>
      </c>
      <c r="B9" s="198">
        <f>'[3]ALL DEPARTMENTS'!H1127</f>
        <v>-11227716.69912</v>
      </c>
      <c r="C9" s="197">
        <f>B9/B14*100</f>
        <v>6.1465488473531806</v>
      </c>
      <c r="D9" s="197">
        <f>'All Departments'!J1050</f>
        <v>-9232393.5</v>
      </c>
      <c r="E9" s="197"/>
      <c r="F9" s="198">
        <f>'All Departments'!K1050</f>
        <v>-8830666.5500000007</v>
      </c>
      <c r="G9" s="196"/>
      <c r="H9" s="222">
        <f>'All Departments'!L1050</f>
        <v>-9360506.5429999996</v>
      </c>
      <c r="I9" s="195"/>
    </row>
    <row r="10" spans="1:9" x14ac:dyDescent="0.2">
      <c r="A10" s="195" t="s">
        <v>1070</v>
      </c>
      <c r="B10" s="198">
        <f>'[3]ALL DEPARTMENTS'!H1266</f>
        <v>-31017000</v>
      </c>
      <c r="C10" s="197">
        <f>B10/B14*100</f>
        <v>16.980078025418656</v>
      </c>
      <c r="D10" s="197"/>
      <c r="E10" s="197"/>
      <c r="F10" s="198">
        <f>'[3]ALL DEPARTMENTS'!I1266</f>
        <v>-31097000</v>
      </c>
      <c r="G10" s="196"/>
      <c r="H10" s="222">
        <f>'[3]ALL DEPARTMENTS'!J1266</f>
        <v>-32715000</v>
      </c>
      <c r="I10" s="195"/>
    </row>
    <row r="11" spans="1:9" x14ac:dyDescent="0.2">
      <c r="A11" s="202" t="s">
        <v>1071</v>
      </c>
      <c r="B11" s="206">
        <f>'[3]ALL DEPARTMENTS'!H1394</f>
        <v>-10910785.172016</v>
      </c>
      <c r="C11" s="204">
        <f>B11/B14*100</f>
        <v>5.9730465080250381</v>
      </c>
      <c r="D11" s="204"/>
      <c r="E11" s="204"/>
      <c r="F11" s="206">
        <f>'[3]ALL DEPARTMENTS'!I1394</f>
        <v>-12102755.528167346</v>
      </c>
      <c r="G11" s="203"/>
      <c r="H11" s="223">
        <f>'[3]ALL DEPARTMENTS'!J1394</f>
        <v>-13424846.069475776</v>
      </c>
      <c r="I11" s="195"/>
    </row>
    <row r="12" spans="1:9" x14ac:dyDescent="0.2">
      <c r="A12" s="202" t="s">
        <v>1072</v>
      </c>
      <c r="B12" s="206">
        <f>'[3]ALL DEPARTMENTS'!H1499</f>
        <v>-2869407.9759999998</v>
      </c>
      <c r="C12" s="204">
        <f>B12/B14*100</f>
        <v>1.5708408717554443</v>
      </c>
      <c r="D12" s="204"/>
      <c r="E12" s="204"/>
      <c r="F12" s="206">
        <f>'[3]ALL DEPARTMENTS'!I1499</f>
        <v>-2950203.0465839999</v>
      </c>
      <c r="G12" s="203"/>
      <c r="H12" s="223">
        <f>'[3]ALL DEPARTMENTS'!J1499</f>
        <v>-3031414.417192704</v>
      </c>
      <c r="I12" s="195"/>
    </row>
    <row r="13" spans="1:9" ht="15.75" thickBot="1" x14ac:dyDescent="0.25">
      <c r="A13" s="202"/>
      <c r="B13" s="206"/>
      <c r="C13" s="204"/>
      <c r="D13" s="204"/>
      <c r="E13" s="204"/>
      <c r="F13" s="206"/>
      <c r="G13" s="202"/>
      <c r="H13" s="223"/>
      <c r="I13" s="202"/>
    </row>
    <row r="14" spans="1:9" s="189" customFormat="1" ht="16.5" thickBot="1" x14ac:dyDescent="0.3">
      <c r="A14" s="191" t="s">
        <v>1104</v>
      </c>
      <c r="B14" s="210">
        <f>SUM(B4:B13)</f>
        <v>-182667005.14313599</v>
      </c>
      <c r="C14" s="209">
        <f>SUM(C4:C12)</f>
        <v>100.00000000000001</v>
      </c>
      <c r="D14" s="210">
        <f>SUM(D4:D13)</f>
        <v>-150925915.03</v>
      </c>
      <c r="E14" s="209"/>
      <c r="F14" s="210">
        <f>SUM(F4:F13)</f>
        <v>-200726357.94655135</v>
      </c>
      <c r="G14" s="208"/>
      <c r="H14" s="224">
        <f>SUM(H4:H13)</f>
        <v>-204092925.82077646</v>
      </c>
      <c r="I14" s="191"/>
    </row>
    <row r="15" spans="1:9" x14ac:dyDescent="0.2">
      <c r="G15" s="212"/>
    </row>
    <row r="17" spans="3:11" x14ac:dyDescent="0.2">
      <c r="K17" s="214"/>
    </row>
    <row r="18" spans="3:11" x14ac:dyDescent="0.2">
      <c r="G18" s="214"/>
    </row>
    <row r="21" spans="3:11" x14ac:dyDescent="0.2">
      <c r="C21" s="214"/>
      <c r="D21" s="214"/>
      <c r="E21" s="214"/>
      <c r="G21" s="214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COVER</vt:lpstr>
      <vt:lpstr>Table of content</vt:lpstr>
      <vt:lpstr>Executive summary</vt:lpstr>
      <vt:lpstr>Summary</vt:lpstr>
      <vt:lpstr>All Departments</vt:lpstr>
      <vt:lpstr>OPEX PER DEPARTMENT</vt:lpstr>
      <vt:lpstr>OPEX PER TYPE</vt:lpstr>
      <vt:lpstr>CAPEX</vt:lpstr>
      <vt:lpstr>Income per departments</vt:lpstr>
      <vt:lpstr>Corporate Services</vt:lpstr>
      <vt:lpstr>LEDP</vt:lpstr>
      <vt:lpstr>MM</vt:lpstr>
      <vt:lpstr>Mayor's Office</vt:lpstr>
      <vt:lpstr>budget &amp; Treasury</vt:lpstr>
      <vt:lpstr>Community services</vt:lpstr>
      <vt:lpstr>Tech-Roads</vt:lpstr>
      <vt:lpstr>Tech-Electricity</vt:lpstr>
      <vt:lpstr>Tech-Water</vt:lpstr>
      <vt:lpstr>'All Departments'!Print_Titles</vt:lpstr>
      <vt:lpstr>'budget &amp; Treasury'!Print_Titles</vt:lpstr>
      <vt:lpstr>'Community services'!Print_Titles</vt:lpstr>
      <vt:lpstr>'Corporate Services'!Print_Titles</vt:lpstr>
      <vt:lpstr>LEDP!Print_Titles</vt:lpstr>
      <vt:lpstr>'Mayor''s Office'!Print_Titles</vt:lpstr>
      <vt:lpstr>MM!Print_Titles</vt:lpstr>
      <vt:lpstr>'Tech-Electricity'!Print_Titles</vt:lpstr>
      <vt:lpstr>'Tech-Roads'!Print_Titles</vt:lpstr>
      <vt:lpstr>'Tech-Water'!Print_Titles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mamabolomp</dc:creator>
  <cp:lastModifiedBy>Portia Mamabolo</cp:lastModifiedBy>
  <cp:lastPrinted>2016-03-04T06:17:34Z</cp:lastPrinted>
  <dcterms:created xsi:type="dcterms:W3CDTF">2016-01-26T10:40:15Z</dcterms:created>
  <dcterms:modified xsi:type="dcterms:W3CDTF">2016-03-04T06:17:43Z</dcterms:modified>
</cp:coreProperties>
</file>